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0" windowWidth="10305" windowHeight="8265" activeTab="0"/>
  </bookViews>
  <sheets>
    <sheet name="Orçamento" sheetId="1" r:id="rId1"/>
    <sheet name="Cronograma" sheetId="2" r:id="rId2"/>
    <sheet name="COMPOSIÇÃO" sheetId="3" r:id="rId3"/>
    <sheet name="Plan1" sheetId="4" r:id="rId4"/>
  </sheets>
  <definedNames>
    <definedName name="_xlfn.IFERROR" hidden="1">#NAME?</definedName>
    <definedName name="_xlnm.Print_Area" localSheetId="2">'COMPOSIÇÃO'!$A$1:$E$44</definedName>
    <definedName name="_xlnm.Print_Area" localSheetId="1">'Cronograma'!$A$1:$L$29</definedName>
    <definedName name="_xlnm.Print_Titles" localSheetId="0">'Orçamento'!$1:$11</definedName>
  </definedNames>
  <calcPr fullCalcOnLoad="1"/>
</workbook>
</file>

<file path=xl/sharedStrings.xml><?xml version="1.0" encoding="utf-8"?>
<sst xmlns="http://schemas.openxmlformats.org/spreadsheetml/2006/main" count="159" uniqueCount="96">
  <si>
    <t>1.1</t>
  </si>
  <si>
    <t>m²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</si>
  <si>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</si>
  <si>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</si>
  <si>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</si>
  <si>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</si>
  <si>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</si>
  <si>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</si>
  <si>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</si>
  <si>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</si>
  <si>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</si>
  <si>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%</t>
  </si>
  <si>
    <t>UNID.</t>
  </si>
  <si>
    <t>R$</t>
  </si>
  <si>
    <t>unid</t>
  </si>
  <si>
    <t>PAVIMENTAÇÃO</t>
  </si>
  <si>
    <t>CRONOGRAMA FÍSICO/FINANCEIRO</t>
  </si>
  <si>
    <t>ITEM</t>
  </si>
  <si>
    <t>QTDE.</t>
  </si>
  <si>
    <t>TOTAL</t>
  </si>
  <si>
    <t>TOTAL ACUMULADO (R$)</t>
  </si>
  <si>
    <t>1º MÊS</t>
  </si>
  <si>
    <t>2º MÊS</t>
  </si>
  <si>
    <t>TRECHO (RUA)</t>
  </si>
  <si>
    <t>PLANILHA ORÇAMENTÁRIA RESUMO (POR TRECHO):</t>
  </si>
  <si>
    <t>QUANTIDADE</t>
  </si>
  <si>
    <t>PREÇOS UNITÁRIOS</t>
  </si>
  <si>
    <t>1.2</t>
  </si>
  <si>
    <t>UN.</t>
  </si>
  <si>
    <t>DESCRIÇÃO DOS SERVIÇOS</t>
  </si>
  <si>
    <t>% mês</t>
  </si>
  <si>
    <t>Quant..</t>
  </si>
  <si>
    <t>TOTAL POR PERIODO</t>
  </si>
  <si>
    <t>SUBTOTAL</t>
  </si>
  <si>
    <t>TOTAL ORÇADO</t>
  </si>
  <si>
    <t>MATERIAL</t>
  </si>
  <si>
    <t>M.O.</t>
  </si>
  <si>
    <t>CÓDIGO</t>
  </si>
  <si>
    <t>SERVIÇOS PRELIMINARES e ACESSIBILIDADE</t>
  </si>
  <si>
    <t>Limpeza, varrição e lavagem de pista</t>
  </si>
  <si>
    <t>Pintura de Ligação com Emulsão RR-2C</t>
  </si>
  <si>
    <t xml:space="preserve">Implantação de placa de obra </t>
  </si>
  <si>
    <t>PREFEITURA MUNICIPAL DE FONTOURA XAVIER</t>
  </si>
  <si>
    <t>ORÇAMENTO PARA PAVIMENTAÇÃO ASFÁLTICA</t>
  </si>
  <si>
    <t xml:space="preserve">LOCAL: AVENIDA 9 DE JULHO E AVENIDA 25 DE ABRIL </t>
  </si>
  <si>
    <t>TOTAL DO ITEM 1 - SERVIÇOS PRELIMINARES e ACESSIBILIDADE</t>
  </si>
  <si>
    <t>TOTAL DO ITEM 2 - RECOMPOSIÇÃO DE PAVIMENTO</t>
  </si>
  <si>
    <t>2.5</t>
  </si>
  <si>
    <t>3.6</t>
  </si>
  <si>
    <t>PREFEITURA</t>
  </si>
  <si>
    <t>1.3</t>
  </si>
  <si>
    <t xml:space="preserve">Controle Tecnológico </t>
  </si>
  <si>
    <t>TOTAL DO ITEM 3 - SINALIZAÇÃO</t>
  </si>
  <si>
    <t>COMPOSIÇÃO DE PREÇO</t>
  </si>
  <si>
    <t>TABELA DE PREÇOS UNITÁRIOS PARA PROJETOS - DAER</t>
  </si>
  <si>
    <t>DATA BASE: MARÇO DE 2011</t>
  </si>
  <si>
    <t>Item: 1.3</t>
  </si>
  <si>
    <t>Extração de Corpo de Prova de Concreto Asfáltico</t>
  </si>
  <si>
    <t>Resiliência em Materiais Betuminosos</t>
  </si>
  <si>
    <t>Resist. a Tração p/ Compressão Diametral em Corpo Prova CBUQ</t>
  </si>
  <si>
    <t>Teor de Betume</t>
  </si>
  <si>
    <t>Serviço</t>
  </si>
  <si>
    <t>Unid.</t>
  </si>
  <si>
    <t>Preço Unit.</t>
  </si>
  <si>
    <t>ens</t>
  </si>
  <si>
    <t>TOTAL (unid.)</t>
  </si>
  <si>
    <t>Fórmula</t>
  </si>
  <si>
    <t>Reajuste Preço  - Março de 2011 para Março de 2012 - Consultoria</t>
  </si>
  <si>
    <t>Março de 2011 = 171,146</t>
  </si>
  <si>
    <t>Março de 2012 = 178,987</t>
  </si>
  <si>
    <r>
      <t xml:space="preserve">R = </t>
    </r>
    <r>
      <rPr>
        <u val="single"/>
        <sz val="11"/>
        <rFont val="Arial"/>
        <family val="2"/>
      </rPr>
      <t>178,897 - 171,146</t>
    </r>
    <r>
      <rPr>
        <sz val="11"/>
        <rFont val="Arial"/>
        <family val="2"/>
      </rPr>
      <t xml:space="preserve"> = 0,0458 = 4,58%                R$ 1.139,63 x 4,58% =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R$ 1.191,82</t>
    </r>
    <r>
      <rPr>
        <u val="single"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               171,146</t>
    </r>
  </si>
  <si>
    <t>Av. Júlio de Maílhos, 1613 Fone: (54) 3308 – 1900 –</t>
  </si>
  <si>
    <t>CEP: 99190-000- Pontão - RS</t>
  </si>
  <si>
    <r>
      <t>PREFEITURA MUNICIPAL DE PONTÃO</t>
    </r>
    <r>
      <rPr>
        <b/>
        <u val="single"/>
        <sz val="20"/>
        <rFont val="Times New Roman"/>
        <family val="1"/>
      </rPr>
      <t xml:space="preserve"> </t>
    </r>
  </si>
  <si>
    <t>ORÇAMENTO PARA CAPEAMENTO ASFÁLTICO SOBRE PAVIMENTAÇÃO EXISTENTE.</t>
  </si>
  <si>
    <t>LOCAL: RUA JOSÉ ANTONIO LÁPIDO</t>
  </si>
  <si>
    <t>TRECHO: ENTRE A RUA NAPOLEÃO MOREIRA E A RUA GABRIEL DE ALMEIDA</t>
  </si>
  <si>
    <t>LOCAL: GABRIEL DE ALMEIDA</t>
  </si>
  <si>
    <t>TRECHO: ENTRE A RUA JOSÉ ANTONIO LÁPIDO E A AVENIDA JULIO DE MAÍLHOS</t>
  </si>
  <si>
    <t>LARGURA: 10,00 m</t>
  </si>
  <si>
    <t>EXTENSÃO: 380,00 m</t>
  </si>
  <si>
    <t>EXTENSÃO: 64,00 m</t>
  </si>
  <si>
    <t>LOCAL: LUIZ MOURINHO</t>
  </si>
  <si>
    <t>EXTENSÃO: 102,00 m</t>
  </si>
  <si>
    <t>Camada de Regularização: Fabricação e Aplicação de Concreto Betuminoso Usinado a Quente (CBUQ), CAP 50/70, (Esp.: 3,0cm), inclusive transporte</t>
  </si>
  <si>
    <t>ton</t>
  </si>
  <si>
    <t>TOTAL DO ORÇAMENTO</t>
  </si>
  <si>
    <t>Reperfilagem e Correção da Pista</t>
  </si>
  <si>
    <t>LARGURA MÉDIA: 10,00 m</t>
  </si>
  <si>
    <t>ÁREA DO TRECHO: 4.030,00 m²</t>
  </si>
  <si>
    <t>ÁREA DO TRECHO:  1.070,00 m²</t>
  </si>
  <si>
    <t xml:space="preserve">ALEXANDRE MENGAZZO </t>
  </si>
  <si>
    <t>ENG. CIVIL CREA RS 167278</t>
  </si>
  <si>
    <t>___________________________________</t>
  </si>
  <si>
    <t>PONTÃO, 16 JUNHO 2014</t>
  </si>
  <si>
    <t>ÁREA DO TRECHO:  670,00 m²</t>
  </si>
</sst>
</file>

<file path=xl/styles.xml><?xml version="1.0" encoding="utf-8"?>
<styleSheet xmlns="http://schemas.openxmlformats.org/spreadsheetml/2006/main">
  <numFmts count="5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_(* #,##0.000_);_(* \(#,##0.000\);_(* &quot;-&quot;??_);_(@_)"/>
    <numFmt numFmtId="174" formatCode="_(* #,##0.0000_);_(* \(#,##0.0000\);_(* &quot;-&quot;??_);_(@_)"/>
    <numFmt numFmtId="175" formatCode="0.0000"/>
    <numFmt numFmtId="176" formatCode="0.00000"/>
    <numFmt numFmtId="177" formatCode="_(* #,##0.0_);_(* \(#,##0.0\);_(* &quot;-&quot;??_);_(@_)"/>
    <numFmt numFmtId="178" formatCode="_(* #,##0_);_(* \(#,##0\);_(* &quot;-&quot;??_);_(@_)"/>
    <numFmt numFmtId="179" formatCode="&quot;R$ &quot;#,##0.00"/>
    <numFmt numFmtId="180" formatCode="000"/>
    <numFmt numFmtId="181" formatCode="_(* #,##0.0000_);_(* \(#,##0.0000\);_(* &quot;-&quot;????_);_(@_)"/>
    <numFmt numFmtId="182" formatCode="0.0%"/>
    <numFmt numFmtId="183" formatCode="0.0"/>
    <numFmt numFmtId="184" formatCode="[$-416]dddd\,\ d&quot; de &quot;mmmm&quot; de &quot;yyyy"/>
    <numFmt numFmtId="185" formatCode="0.000%"/>
    <numFmt numFmtId="186" formatCode="[$-F800]dddd\,\ mmmm\ dd\,\ yyyy"/>
    <numFmt numFmtId="187" formatCode="000/0000"/>
    <numFmt numFmtId="188" formatCode="#,##0.0"/>
    <numFmt numFmtId="189" formatCode="_(* #,##0.00000_);_(* \(#,##0.00000\);_(* &quot;-&quot;??_);_(@_)"/>
    <numFmt numFmtId="190" formatCode="_(* #,##0.000000_);_(* \(#,##0.000000\);_(* &quot;-&quot;??_);_(@_)"/>
    <numFmt numFmtId="191" formatCode="_(* #,##0.0000000_);_(* \(#,##0.0000000\);_(* &quot;-&quot;??_);_(@_)"/>
    <numFmt numFmtId="192" formatCode="_(* #,##0.00000000_);_(* \(#,##0.00000000\);_(* &quot;-&quot;??_);_(@_)"/>
    <numFmt numFmtId="193" formatCode="_(* #,##0.000000000_);_(* \(#,##0.000000000\);_(* &quot;-&quot;??_);_(@_)"/>
    <numFmt numFmtId="194" formatCode="_(* #,##0.0000000000_);_(* \(#,##0.0000000000\);_(* &quot;-&quot;??_);_(@_)"/>
    <numFmt numFmtId="195" formatCode="_(* #,##0.00000000000_);_(* \(#,##0.00000000000\);_(* &quot;-&quot;??_);_(@_)"/>
    <numFmt numFmtId="196" formatCode="0.0000000"/>
    <numFmt numFmtId="197" formatCode="0.000000"/>
    <numFmt numFmtId="198" formatCode="0.000"/>
    <numFmt numFmtId="199" formatCode="_(&quot;R$ &quot;* #.##0.00_);_(&quot;R$ &quot;* \(#.##0.00\);_(&quot;R$ &quot;* &quot;-&quot;??_);_(@_)"/>
    <numFmt numFmtId="200" formatCode="_(* #.##0.00_);_(* \(#.##0.00\);_(* &quot;-&quot;??_);_(@_)"/>
    <numFmt numFmtId="201" formatCode="&quot;R$&quot;#,##0_);\(&quot;R$&quot;#,##0\)"/>
    <numFmt numFmtId="202" formatCode="&quot;R$&quot;#,##0_);[Red]\(&quot;R$&quot;#,##0\)"/>
    <numFmt numFmtId="203" formatCode="&quot;R$&quot;#,##0.00_);\(&quot;R$&quot;#,##0.00\)"/>
    <numFmt numFmtId="204" formatCode="&quot;R$&quot;#,##0.00_);[Red]\(&quot;R$&quot;#,##0.00\)"/>
    <numFmt numFmtId="205" formatCode="_(&quot;R$&quot;* #,##0_);_(&quot;R$&quot;* \(#,##0\);_(&quot;R$&quot;* &quot;-&quot;_);_(@_)"/>
    <numFmt numFmtId="206" formatCode="0.00000000"/>
    <numFmt numFmtId="207" formatCode="0.000000000"/>
    <numFmt numFmtId="208" formatCode="0.0000000000"/>
    <numFmt numFmtId="209" formatCode="_(* #.##0.00000_);_(* \(#.##0.00000\);_(* &quot;-&quot;?????_);_(@_)"/>
    <numFmt numFmtId="210" formatCode="0.0000%"/>
    <numFmt numFmtId="211" formatCode="&quot;Sim&quot;;&quot;Sim&quot;;&quot;Não&quot;"/>
    <numFmt numFmtId="212" formatCode="&quot;Verdadeiro&quot;;&quot;Verdadeiro&quot;;&quot;Falso&quot;"/>
    <numFmt numFmtId="213" formatCode="&quot;Ativar&quot;;&quot;Ativar&quot;;&quot;Desativar&quot;"/>
    <numFmt numFmtId="214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 Narrow"/>
      <family val="2"/>
    </font>
    <font>
      <b/>
      <u val="single"/>
      <sz val="15"/>
      <name val="Arial Narrow"/>
      <family val="2"/>
    </font>
    <font>
      <u val="single"/>
      <sz val="14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3"/>
      <name val="Arial Narrow"/>
      <family val="2"/>
    </font>
    <font>
      <b/>
      <sz val="13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"/>
      <sz val="20"/>
      <name val="Tahoma"/>
      <family val="2"/>
    </font>
    <font>
      <b/>
      <u val="single"/>
      <sz val="20"/>
      <name val="Times New Roman"/>
      <family val="1"/>
    </font>
    <font>
      <b/>
      <sz val="20"/>
      <name val="Tahoma"/>
      <family val="2"/>
    </font>
    <font>
      <sz val="20"/>
      <name val="Times New Roman"/>
      <family val="1"/>
    </font>
    <font>
      <sz val="12"/>
      <color indexed="8"/>
      <name val="Arial Narrow"/>
      <family val="2"/>
    </font>
    <font>
      <sz val="10"/>
      <color indexed="9"/>
      <name val="Arial Narrow"/>
      <family val="2"/>
    </font>
    <font>
      <b/>
      <sz val="12"/>
      <color indexed="10"/>
      <name val="Arial Narrow"/>
      <family val="2"/>
    </font>
    <font>
      <b/>
      <sz val="14"/>
      <color indexed="8"/>
      <name val="Arial Narrow"/>
      <family val="2"/>
    </font>
    <font>
      <sz val="11"/>
      <color theme="1"/>
      <name val="Calibri"/>
      <family val="2"/>
    </font>
    <font>
      <sz val="12"/>
      <color theme="1"/>
      <name val="Arial Narrow"/>
      <family val="2"/>
    </font>
    <font>
      <sz val="10"/>
      <color theme="0"/>
      <name val="Arial Narrow"/>
      <family val="2"/>
    </font>
    <font>
      <b/>
      <sz val="12"/>
      <color rgb="FFFF0000"/>
      <name val="Arial Narrow"/>
      <family val="2"/>
    </font>
    <font>
      <b/>
      <sz val="14"/>
      <color theme="1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 style="double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2" fillId="0" borderId="5" applyNumberFormat="0" applyFont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</cellStyleXfs>
  <cellXfs count="208">
    <xf numFmtId="0" fontId="0" fillId="0" borderId="0" xfId="0" applyAlignment="1">
      <alignment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83" fontId="22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183" fontId="24" fillId="0" borderId="0" xfId="0" applyNumberFormat="1" applyFont="1" applyFill="1" applyBorder="1" applyAlignment="1">
      <alignment vertical="center"/>
    </xf>
    <xf numFmtId="0" fontId="24" fillId="0" borderId="0" xfId="60" applyFont="1" applyFill="1" applyBorder="1" applyAlignment="1">
      <alignment vertical="center"/>
      <protection/>
    </xf>
    <xf numFmtId="0" fontId="26" fillId="0" borderId="0" xfId="0" applyFont="1" applyFill="1" applyAlignment="1">
      <alignment vertical="center"/>
    </xf>
    <xf numFmtId="0" fontId="25" fillId="0" borderId="11" xfId="60" applyFont="1" applyFill="1" applyBorder="1" applyAlignment="1">
      <alignment vertical="center" wrapText="1"/>
      <protection/>
    </xf>
    <xf numFmtId="0" fontId="26" fillId="0" borderId="11" xfId="60" applyFont="1" applyFill="1" applyBorder="1" applyAlignment="1">
      <alignment horizontal="center" vertical="center"/>
      <protection/>
    </xf>
    <xf numFmtId="171" fontId="26" fillId="0" borderId="11" xfId="68" applyFont="1" applyFill="1" applyBorder="1" applyAlignment="1">
      <alignment vertical="center"/>
    </xf>
    <xf numFmtId="0" fontId="26" fillId="0" borderId="12" xfId="60" applyFont="1" applyFill="1" applyBorder="1" applyAlignment="1">
      <alignment vertical="center" wrapText="1"/>
      <protection/>
    </xf>
    <xf numFmtId="0" fontId="26" fillId="0" borderId="12" xfId="60" applyFont="1" applyFill="1" applyBorder="1" applyAlignment="1">
      <alignment horizontal="center" vertical="center"/>
      <protection/>
    </xf>
    <xf numFmtId="171" fontId="26" fillId="0" borderId="12" xfId="68" applyFont="1" applyFill="1" applyBorder="1" applyAlignment="1">
      <alignment vertical="center"/>
    </xf>
    <xf numFmtId="0" fontId="25" fillId="0" borderId="11" xfId="60" applyFont="1" applyFill="1" applyBorder="1" applyAlignment="1">
      <alignment vertical="center"/>
      <protection/>
    </xf>
    <xf numFmtId="0" fontId="25" fillId="0" borderId="13" xfId="60" applyFont="1" applyFill="1" applyBorder="1" applyAlignment="1">
      <alignment vertical="center" wrapText="1"/>
      <protection/>
    </xf>
    <xf numFmtId="0" fontId="26" fillId="0" borderId="13" xfId="60" applyFont="1" applyFill="1" applyBorder="1" applyAlignment="1">
      <alignment horizontal="center" vertical="center"/>
      <protection/>
    </xf>
    <xf numFmtId="171" fontId="26" fillId="0" borderId="13" xfId="68" applyFont="1" applyFill="1" applyBorder="1" applyAlignment="1">
      <alignment vertical="center"/>
    </xf>
    <xf numFmtId="0" fontId="25" fillId="0" borderId="14" xfId="60" applyFont="1" applyFill="1" applyBorder="1" applyAlignment="1">
      <alignment vertical="center" wrapText="1"/>
      <protection/>
    </xf>
    <xf numFmtId="0" fontId="25" fillId="0" borderId="14" xfId="60" applyFont="1" applyFill="1" applyBorder="1" applyAlignment="1">
      <alignment vertical="center"/>
      <protection/>
    </xf>
    <xf numFmtId="0" fontId="25" fillId="0" borderId="0" xfId="60" applyFont="1" applyFill="1" applyBorder="1" applyAlignment="1">
      <alignment vertical="center"/>
      <protection/>
    </xf>
    <xf numFmtId="183" fontId="26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 wrapText="1"/>
    </xf>
    <xf numFmtId="183" fontId="21" fillId="0" borderId="0" xfId="0" applyNumberFormat="1" applyFont="1" applyFill="1" applyBorder="1" applyAlignment="1">
      <alignment vertical="center"/>
    </xf>
    <xf numFmtId="183" fontId="47" fillId="0" borderId="12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2" xfId="60" applyFont="1" applyFill="1" applyBorder="1" applyAlignment="1">
      <alignment horizontal="center" vertical="center"/>
      <protection/>
    </xf>
    <xf numFmtId="0" fontId="25" fillId="0" borderId="12" xfId="60" applyFont="1" applyFill="1" applyBorder="1" applyAlignment="1">
      <alignment vertical="center" wrapText="1"/>
      <protection/>
    </xf>
    <xf numFmtId="183" fontId="25" fillId="0" borderId="12" xfId="60" applyNumberFormat="1" applyFont="1" applyFill="1" applyBorder="1" applyAlignment="1">
      <alignment horizontal="center" vertical="center"/>
      <protection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173" fontId="31" fillId="0" borderId="0" xfId="68" applyNumberFormat="1" applyFont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171" fontId="31" fillId="0" borderId="0" xfId="68" applyFont="1" applyBorder="1" applyAlignment="1">
      <alignment vertical="center"/>
    </xf>
    <xf numFmtId="3" fontId="25" fillId="0" borderId="12" xfId="0" applyNumberFormat="1" applyFont="1" applyBorder="1" applyAlignment="1">
      <alignment horizontal="center" vertical="center"/>
    </xf>
    <xf numFmtId="0" fontId="31" fillId="0" borderId="12" xfId="0" applyFont="1" applyFill="1" applyBorder="1" applyAlignment="1">
      <alignment vertical="center"/>
    </xf>
    <xf numFmtId="171" fontId="31" fillId="0" borderId="12" xfId="68" applyFont="1" applyBorder="1" applyAlignment="1">
      <alignment vertical="center"/>
    </xf>
    <xf numFmtId="171" fontId="30" fillId="0" borderId="12" xfId="68" applyFont="1" applyBorder="1" applyAlignment="1">
      <alignment horizontal="center" vertical="center"/>
    </xf>
    <xf numFmtId="10" fontId="31" fillId="0" borderId="0" xfId="63" applyNumberFormat="1" applyFont="1" applyFill="1" applyBorder="1" applyAlignment="1">
      <alignment vertical="center"/>
    </xf>
    <xf numFmtId="10" fontId="30" fillId="0" borderId="12" xfId="63" applyNumberFormat="1" applyFont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171" fontId="25" fillId="0" borderId="15" xfId="68" applyFont="1" applyBorder="1" applyAlignment="1">
      <alignment horizontal="center" vertical="center" wrapText="1"/>
    </xf>
    <xf numFmtId="0" fontId="30" fillId="0" borderId="12" xfId="0" applyFont="1" applyBorder="1" applyAlignment="1">
      <alignment vertical="center"/>
    </xf>
    <xf numFmtId="171" fontId="31" fillId="0" borderId="12" xfId="68" applyFont="1" applyFill="1" applyBorder="1" applyAlignment="1">
      <alignment vertical="center"/>
    </xf>
    <xf numFmtId="0" fontId="31" fillId="0" borderId="12" xfId="0" applyFont="1" applyBorder="1" applyAlignment="1">
      <alignment vertical="center"/>
    </xf>
    <xf numFmtId="3" fontId="25" fillId="24" borderId="16" xfId="0" applyNumberFormat="1" applyFont="1" applyFill="1" applyBorder="1" applyAlignment="1">
      <alignment vertical="center"/>
    </xf>
    <xf numFmtId="0" fontId="24" fillId="24" borderId="17" xfId="0" applyFont="1" applyFill="1" applyBorder="1" applyAlignment="1">
      <alignment vertical="center"/>
    </xf>
    <xf numFmtId="3" fontId="25" fillId="24" borderId="11" xfId="0" applyNumberFormat="1" applyFont="1" applyFill="1" applyBorder="1" applyAlignment="1">
      <alignment horizontal="right" vertical="center"/>
    </xf>
    <xf numFmtId="10" fontId="25" fillId="0" borderId="15" xfId="68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1" fontId="30" fillId="0" borderId="12" xfId="0" applyNumberFormat="1" applyFont="1" applyBorder="1" applyAlignment="1">
      <alignment vertical="center"/>
    </xf>
    <xf numFmtId="1" fontId="30" fillId="0" borderId="12" xfId="0" applyNumberFormat="1" applyFont="1" applyBorder="1" applyAlignment="1">
      <alignment horizontal="left" vertical="center"/>
    </xf>
    <xf numFmtId="1" fontId="31" fillId="0" borderId="12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1" fontId="30" fillId="0" borderId="12" xfId="0" applyNumberFormat="1" applyFont="1" applyBorder="1" applyAlignment="1">
      <alignment horizontal="center" vertical="center"/>
    </xf>
    <xf numFmtId="171" fontId="30" fillId="0" borderId="12" xfId="68" applyFont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71" fontId="31" fillId="0" borderId="12" xfId="68" applyFont="1" applyBorder="1" applyAlignment="1">
      <alignment horizontal="center" vertical="center"/>
    </xf>
    <xf numFmtId="10" fontId="31" fillId="0" borderId="12" xfId="63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10" fontId="25" fillId="0" borderId="12" xfId="63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71" fontId="30" fillId="0" borderId="12" xfId="68" applyFont="1" applyFill="1" applyBorder="1" applyAlignment="1">
      <alignment vertical="center"/>
    </xf>
    <xf numFmtId="9" fontId="30" fillId="0" borderId="12" xfId="63" applyFont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173" fontId="30" fillId="0" borderId="0" xfId="68" applyNumberFormat="1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171" fontId="25" fillId="0" borderId="19" xfId="68" applyFont="1" applyBorder="1" applyAlignment="1">
      <alignment vertical="center"/>
    </xf>
    <xf numFmtId="171" fontId="30" fillId="0" borderId="11" xfId="68" applyFont="1" applyBorder="1" applyAlignment="1">
      <alignment vertical="center"/>
    </xf>
    <xf numFmtId="171" fontId="30" fillId="0" borderId="17" xfId="68" applyFont="1" applyBorder="1" applyAlignment="1">
      <alignment vertical="center"/>
    </xf>
    <xf numFmtId="9" fontId="30" fillId="0" borderId="16" xfId="63" applyNumberFormat="1" applyFont="1" applyFill="1" applyBorder="1" applyAlignment="1">
      <alignment vertical="center"/>
    </xf>
    <xf numFmtId="9" fontId="30" fillId="0" borderId="12" xfId="63" applyFont="1" applyBorder="1" applyAlignment="1">
      <alignment horizontal="center" vertical="center"/>
    </xf>
    <xf numFmtId="0" fontId="25" fillId="0" borderId="11" xfId="60" applyFont="1" applyFill="1" applyBorder="1" applyAlignment="1">
      <alignment horizontal="center" vertical="center"/>
      <protection/>
    </xf>
    <xf numFmtId="0" fontId="25" fillId="0" borderId="11" xfId="0" applyFont="1" applyFill="1" applyBorder="1" applyAlignment="1">
      <alignment horizontal="center" vertical="center"/>
    </xf>
    <xf numFmtId="183" fontId="25" fillId="0" borderId="16" xfId="60" applyNumberFormat="1" applyFont="1" applyFill="1" applyBorder="1" applyAlignment="1">
      <alignment horizontal="center" vertical="center"/>
      <protection/>
    </xf>
    <xf numFmtId="183" fontId="26" fillId="0" borderId="12" xfId="60" applyNumberFormat="1" applyFont="1" applyFill="1" applyBorder="1" applyAlignment="1">
      <alignment horizontal="center" vertical="center" wrapText="1"/>
      <protection/>
    </xf>
    <xf numFmtId="0" fontId="25" fillId="0" borderId="16" xfId="60" applyFont="1" applyFill="1" applyBorder="1" applyAlignment="1">
      <alignment vertical="center"/>
      <protection/>
    </xf>
    <xf numFmtId="1" fontId="25" fillId="0" borderId="11" xfId="60" applyNumberFormat="1" applyFont="1" applyFill="1" applyBorder="1" applyAlignment="1">
      <alignment horizontal="center" vertical="center" wrapText="1"/>
      <protection/>
    </xf>
    <xf numFmtId="0" fontId="24" fillId="0" borderId="14" xfId="60" applyFont="1" applyFill="1" applyBorder="1" applyAlignment="1">
      <alignment vertical="center"/>
      <protection/>
    </xf>
    <xf numFmtId="0" fontId="24" fillId="0" borderId="20" xfId="60" applyFont="1" applyFill="1" applyBorder="1" applyAlignment="1">
      <alignment vertical="center"/>
      <protection/>
    </xf>
    <xf numFmtId="0" fontId="21" fillId="0" borderId="14" xfId="0" applyFont="1" applyFill="1" applyBorder="1" applyAlignment="1">
      <alignment vertical="center"/>
    </xf>
    <xf numFmtId="171" fontId="48" fillId="0" borderId="12" xfId="68" applyFont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0" fontId="24" fillId="0" borderId="19" xfId="60" applyFont="1" applyFill="1" applyBorder="1" applyAlignment="1">
      <alignment vertical="center"/>
      <protection/>
    </xf>
    <xf numFmtId="0" fontId="24" fillId="0" borderId="21" xfId="60" applyFont="1" applyFill="1" applyBorder="1" applyAlignment="1">
      <alignment vertical="center"/>
      <protection/>
    </xf>
    <xf numFmtId="0" fontId="25" fillId="0" borderId="17" xfId="60" applyFont="1" applyFill="1" applyBorder="1" applyAlignment="1">
      <alignment horizontal="center" vertical="center" wrapText="1"/>
      <protection/>
    </xf>
    <xf numFmtId="0" fontId="25" fillId="0" borderId="12" xfId="60" applyFont="1" applyFill="1" applyBorder="1" applyAlignment="1">
      <alignment horizontal="center" vertical="center" wrapText="1"/>
      <protection/>
    </xf>
    <xf numFmtId="0" fontId="30" fillId="0" borderId="12" xfId="60" applyFont="1" applyFill="1" applyBorder="1" applyAlignment="1">
      <alignment horizontal="center" vertical="center" wrapText="1"/>
      <protection/>
    </xf>
    <xf numFmtId="0" fontId="30" fillId="0" borderId="17" xfId="60" applyFont="1" applyFill="1" applyBorder="1" applyAlignment="1">
      <alignment horizontal="center" vertical="center" wrapText="1"/>
      <protection/>
    </xf>
    <xf numFmtId="0" fontId="26" fillId="0" borderId="16" xfId="0" applyFont="1" applyFill="1" applyBorder="1" applyAlignment="1">
      <alignment vertical="center"/>
    </xf>
    <xf numFmtId="171" fontId="26" fillId="0" borderId="17" xfId="68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170" fontId="27" fillId="0" borderId="12" xfId="47" applyFont="1" applyFill="1" applyBorder="1" applyAlignment="1">
      <alignment vertical="center"/>
    </xf>
    <xf numFmtId="170" fontId="27" fillId="0" borderId="16" xfId="47" applyFont="1" applyFill="1" applyBorder="1" applyAlignment="1">
      <alignment vertical="center"/>
    </xf>
    <xf numFmtId="170" fontId="26" fillId="0" borderId="12" xfId="47" applyFont="1" applyFill="1" applyBorder="1" applyAlignment="1">
      <alignment vertical="center"/>
    </xf>
    <xf numFmtId="170" fontId="28" fillId="0" borderId="11" xfId="47" applyFont="1" applyFill="1" applyBorder="1" applyAlignment="1">
      <alignment vertical="center"/>
    </xf>
    <xf numFmtId="170" fontId="28" fillId="0" borderId="17" xfId="47" applyFont="1" applyFill="1" applyBorder="1" applyAlignment="1">
      <alignment vertical="center"/>
    </xf>
    <xf numFmtId="170" fontId="25" fillId="0" borderId="17" xfId="47" applyFont="1" applyFill="1" applyBorder="1" applyAlignment="1">
      <alignment vertical="center"/>
    </xf>
    <xf numFmtId="170" fontId="27" fillId="0" borderId="11" xfId="47" applyFont="1" applyFill="1" applyBorder="1" applyAlignment="1">
      <alignment vertical="center"/>
    </xf>
    <xf numFmtId="170" fontId="27" fillId="0" borderId="22" xfId="47" applyFont="1" applyFill="1" applyBorder="1" applyAlignment="1">
      <alignment vertical="center"/>
    </xf>
    <xf numFmtId="170" fontId="26" fillId="0" borderId="22" xfId="47" applyFont="1" applyFill="1" applyBorder="1" applyAlignment="1">
      <alignment vertical="center"/>
    </xf>
    <xf numFmtId="170" fontId="28" fillId="0" borderId="14" xfId="47" applyFont="1" applyFill="1" applyBorder="1" applyAlignment="1">
      <alignment vertical="center"/>
    </xf>
    <xf numFmtId="170" fontId="28" fillId="0" borderId="19" xfId="47" applyFont="1" applyFill="1" applyBorder="1" applyAlignment="1">
      <alignment vertical="center"/>
    </xf>
    <xf numFmtId="170" fontId="25" fillId="0" borderId="19" xfId="47" applyFont="1" applyFill="1" applyBorder="1" applyAlignment="1">
      <alignment vertical="center"/>
    </xf>
    <xf numFmtId="170" fontId="26" fillId="0" borderId="17" xfId="47" applyFont="1" applyFill="1" applyBorder="1" applyAlignment="1">
      <alignment vertical="center"/>
    </xf>
    <xf numFmtId="170" fontId="25" fillId="0" borderId="11" xfId="47" applyFont="1" applyFill="1" applyBorder="1" applyAlignment="1">
      <alignment vertical="center"/>
    </xf>
    <xf numFmtId="170" fontId="25" fillId="0" borderId="12" xfId="47" applyFont="1" applyFill="1" applyBorder="1" applyAlignment="1">
      <alignment vertical="center"/>
    </xf>
    <xf numFmtId="170" fontId="25" fillId="0" borderId="15" xfId="47" applyFont="1" applyFill="1" applyBorder="1" applyAlignment="1">
      <alignment vertical="center"/>
    </xf>
    <xf numFmtId="41" fontId="26" fillId="0" borderId="12" xfId="0" applyNumberFormat="1" applyFont="1" applyFill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21" fillId="0" borderId="20" xfId="0" applyFont="1" applyFill="1" applyBorder="1" applyAlignment="1">
      <alignment vertical="center"/>
    </xf>
    <xf numFmtId="0" fontId="25" fillId="0" borderId="0" xfId="60" applyFont="1" applyFill="1" applyBorder="1" applyAlignment="1">
      <alignment vertical="center" wrapText="1"/>
      <protection/>
    </xf>
    <xf numFmtId="170" fontId="25" fillId="0" borderId="0" xfId="47" applyFont="1" applyFill="1" applyBorder="1" applyAlignment="1">
      <alignment vertical="center"/>
    </xf>
    <xf numFmtId="170" fontId="28" fillId="0" borderId="0" xfId="47" applyFont="1" applyFill="1" applyBorder="1" applyAlignment="1">
      <alignment vertical="center"/>
    </xf>
    <xf numFmtId="183" fontId="26" fillId="0" borderId="0" xfId="0" applyNumberFormat="1" applyFont="1" applyFill="1" applyBorder="1" applyAlignment="1">
      <alignment vertical="center"/>
    </xf>
    <xf numFmtId="0" fontId="25" fillId="0" borderId="21" xfId="60" applyFont="1" applyFill="1" applyBorder="1" applyAlignment="1">
      <alignment vertical="center"/>
      <protection/>
    </xf>
    <xf numFmtId="0" fontId="49" fillId="0" borderId="20" xfId="60" applyFont="1" applyFill="1" applyBorder="1" applyAlignment="1">
      <alignment vertical="center"/>
      <protection/>
    </xf>
    <xf numFmtId="170" fontId="31" fillId="0" borderId="0" xfId="0" applyNumberFormat="1" applyFont="1" applyFill="1" applyBorder="1" applyAlignment="1">
      <alignment vertical="center"/>
    </xf>
    <xf numFmtId="0" fontId="31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32" fillId="0" borderId="11" xfId="0" applyFont="1" applyBorder="1" applyAlignment="1">
      <alignment vertical="center"/>
    </xf>
    <xf numFmtId="0" fontId="32" fillId="0" borderId="17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/>
    </xf>
    <xf numFmtId="0" fontId="34" fillId="0" borderId="0" xfId="0" applyFont="1" applyBorder="1" applyAlignment="1">
      <alignment horizontal="center"/>
    </xf>
    <xf numFmtId="170" fontId="34" fillId="0" borderId="0" xfId="0" applyNumberFormat="1" applyFont="1" applyBorder="1" applyAlignment="1">
      <alignment/>
    </xf>
    <xf numFmtId="0" fontId="26" fillId="0" borderId="0" xfId="0" applyFont="1" applyFill="1" applyBorder="1" applyAlignment="1">
      <alignment horizontal="left" vertical="center"/>
    </xf>
    <xf numFmtId="0" fontId="35" fillId="0" borderId="2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21" xfId="0" applyFont="1" applyBorder="1" applyAlignment="1">
      <alignment/>
    </xf>
    <xf numFmtId="0" fontId="34" fillId="0" borderId="18" xfId="0" applyFont="1" applyBorder="1" applyAlignment="1">
      <alignment/>
    </xf>
    <xf numFmtId="0" fontId="34" fillId="0" borderId="14" xfId="0" applyFont="1" applyBorder="1" applyAlignment="1">
      <alignment/>
    </xf>
    <xf numFmtId="0" fontId="35" fillId="0" borderId="14" xfId="0" applyFont="1" applyBorder="1" applyAlignment="1">
      <alignment/>
    </xf>
    <xf numFmtId="0" fontId="35" fillId="0" borderId="19" xfId="0" applyFont="1" applyBorder="1" applyAlignment="1">
      <alignment/>
    </xf>
    <xf numFmtId="0" fontId="35" fillId="0" borderId="0" xfId="0" applyFont="1" applyBorder="1" applyAlignment="1">
      <alignment horizontal="center"/>
    </xf>
    <xf numFmtId="170" fontId="35" fillId="0" borderId="0" xfId="47" applyFont="1" applyBorder="1" applyAlignment="1">
      <alignment/>
    </xf>
    <xf numFmtId="0" fontId="36" fillId="0" borderId="20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21" xfId="0" applyFont="1" applyBorder="1" applyAlignment="1">
      <alignment/>
    </xf>
    <xf numFmtId="0" fontId="34" fillId="0" borderId="0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25" fillId="0" borderId="13" xfId="0" applyFont="1" applyBorder="1" applyAlignment="1">
      <alignment horizontal="center"/>
    </xf>
    <xf numFmtId="170" fontId="25" fillId="0" borderId="13" xfId="0" applyNumberFormat="1" applyFont="1" applyBorder="1" applyAlignment="1">
      <alignment/>
    </xf>
    <xf numFmtId="0" fontId="35" fillId="0" borderId="20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4" fillId="0" borderId="18" xfId="60" applyFont="1" applyFill="1" applyBorder="1" applyAlignment="1">
      <alignment vertical="center"/>
      <protection/>
    </xf>
    <xf numFmtId="183" fontId="21" fillId="0" borderId="14" xfId="0" applyNumberFormat="1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170" fontId="25" fillId="0" borderId="14" xfId="47" applyFont="1" applyFill="1" applyBorder="1" applyAlignment="1">
      <alignment vertical="center"/>
    </xf>
    <xf numFmtId="43" fontId="26" fillId="0" borderId="0" xfId="0" applyNumberFormat="1" applyFont="1" applyFill="1" applyAlignment="1">
      <alignment vertical="center"/>
    </xf>
    <xf numFmtId="183" fontId="24" fillId="0" borderId="16" xfId="0" applyNumberFormat="1" applyFont="1" applyFill="1" applyBorder="1" applyAlignment="1">
      <alignment horizontal="center" vertical="center"/>
    </xf>
    <xf numFmtId="183" fontId="24" fillId="0" borderId="11" xfId="0" applyNumberFormat="1" applyFont="1" applyFill="1" applyBorder="1" applyAlignment="1">
      <alignment horizontal="center" vertical="center"/>
    </xf>
    <xf numFmtId="183" fontId="24" fillId="0" borderId="17" xfId="0" applyNumberFormat="1" applyFont="1" applyFill="1" applyBorder="1" applyAlignment="1">
      <alignment horizontal="center" vertical="center"/>
    </xf>
    <xf numFmtId="183" fontId="25" fillId="0" borderId="15" xfId="60" applyNumberFormat="1" applyFont="1" applyFill="1" applyBorder="1" applyAlignment="1">
      <alignment horizontal="center" vertical="center"/>
      <protection/>
    </xf>
    <xf numFmtId="183" fontId="25" fillId="0" borderId="24" xfId="60" applyNumberFormat="1" applyFont="1" applyFill="1" applyBorder="1" applyAlignment="1">
      <alignment horizontal="center" vertical="center"/>
      <protection/>
    </xf>
    <xf numFmtId="0" fontId="25" fillId="0" borderId="16" xfId="60" applyFont="1" applyFill="1" applyBorder="1" applyAlignment="1">
      <alignment horizontal="center" vertical="center" wrapText="1"/>
      <protection/>
    </xf>
    <xf numFmtId="0" fontId="25" fillId="0" borderId="11" xfId="60" applyFont="1" applyFill="1" applyBorder="1" applyAlignment="1">
      <alignment horizontal="center" vertical="center" wrapText="1"/>
      <protection/>
    </xf>
    <xf numFmtId="0" fontId="25" fillId="0" borderId="17" xfId="60" applyFont="1" applyFill="1" applyBorder="1" applyAlignment="1">
      <alignment horizontal="center" vertical="center" wrapText="1"/>
      <protection/>
    </xf>
    <xf numFmtId="0" fontId="29" fillId="0" borderId="11" xfId="60" applyFont="1" applyFill="1" applyBorder="1" applyAlignment="1">
      <alignment horizontal="center" vertical="center"/>
      <protection/>
    </xf>
    <xf numFmtId="0" fontId="29" fillId="0" borderId="14" xfId="60" applyFont="1" applyFill="1" applyBorder="1" applyAlignment="1">
      <alignment horizontal="center" vertical="center"/>
      <protection/>
    </xf>
    <xf numFmtId="0" fontId="29" fillId="0" borderId="17" xfId="60" applyFont="1" applyFill="1" applyBorder="1" applyAlignment="1">
      <alignment horizontal="center" vertical="center"/>
      <protection/>
    </xf>
    <xf numFmtId="0" fontId="29" fillId="0" borderId="13" xfId="60" applyFont="1" applyFill="1" applyBorder="1" applyAlignment="1">
      <alignment horizontal="center" vertical="center"/>
      <protection/>
    </xf>
    <xf numFmtId="0" fontId="29" fillId="0" borderId="22" xfId="60" applyFont="1" applyFill="1" applyBorder="1" applyAlignment="1">
      <alignment horizontal="center" vertical="center"/>
      <protection/>
    </xf>
    <xf numFmtId="0" fontId="24" fillId="0" borderId="0" xfId="60" applyFont="1" applyFill="1" applyBorder="1" applyAlignment="1">
      <alignment horizontal="center" vertical="center"/>
      <protection/>
    </xf>
    <xf numFmtId="0" fontId="50" fillId="0" borderId="0" xfId="60" applyFont="1" applyFill="1" applyBorder="1" applyAlignment="1">
      <alignment horizontal="center" vertical="center"/>
      <protection/>
    </xf>
    <xf numFmtId="0" fontId="25" fillId="0" borderId="18" xfId="60" applyFont="1" applyFill="1" applyBorder="1" applyAlignment="1">
      <alignment horizontal="center" vertical="center" wrapText="1"/>
      <protection/>
    </xf>
    <xf numFmtId="0" fontId="25" fillId="0" borderId="14" xfId="60" applyFont="1" applyFill="1" applyBorder="1" applyAlignment="1">
      <alignment horizontal="center" vertical="center" wrapText="1"/>
      <protection/>
    </xf>
    <xf numFmtId="0" fontId="25" fillId="0" borderId="19" xfId="60" applyFont="1" applyFill="1" applyBorder="1" applyAlignment="1">
      <alignment horizontal="center" vertical="center" wrapText="1"/>
      <protection/>
    </xf>
    <xf numFmtId="0" fontId="25" fillId="0" borderId="20" xfId="60" applyFont="1" applyFill="1" applyBorder="1" applyAlignment="1">
      <alignment horizontal="center" vertical="center" wrapText="1"/>
      <protection/>
    </xf>
    <xf numFmtId="0" fontId="25" fillId="0" borderId="0" xfId="60" applyFont="1" applyFill="1" applyBorder="1" applyAlignment="1">
      <alignment horizontal="center" vertical="center" wrapText="1"/>
      <protection/>
    </xf>
    <xf numFmtId="0" fontId="25" fillId="0" borderId="21" xfId="60" applyFont="1" applyFill="1" applyBorder="1" applyAlignment="1">
      <alignment horizontal="center" vertical="center" wrapText="1"/>
      <protection/>
    </xf>
    <xf numFmtId="0" fontId="25" fillId="0" borderId="12" xfId="0" applyFont="1" applyFill="1" applyBorder="1" applyAlignment="1">
      <alignment horizontal="center" vertical="center"/>
    </xf>
    <xf numFmtId="170" fontId="25" fillId="0" borderId="12" xfId="0" applyNumberFormat="1" applyFont="1" applyFill="1" applyBorder="1" applyAlignment="1">
      <alignment horizontal="center" vertical="center"/>
    </xf>
    <xf numFmtId="170" fontId="47" fillId="0" borderId="12" xfId="47" applyFont="1" applyFill="1" applyBorder="1" applyAlignment="1">
      <alignment horizontal="center" vertical="center"/>
    </xf>
    <xf numFmtId="170" fontId="47" fillId="0" borderId="15" xfId="47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183" fontId="25" fillId="0" borderId="12" xfId="60" applyNumberFormat="1" applyFont="1" applyFill="1" applyBorder="1" applyAlignment="1">
      <alignment horizontal="left" vertical="center" indent="6"/>
      <protection/>
    </xf>
    <xf numFmtId="0" fontId="25" fillId="0" borderId="12" xfId="0" applyFont="1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0" fontId="34" fillId="0" borderId="16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6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1" fontId="25" fillId="0" borderId="12" xfId="60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center" vertical="center" wrapText="1"/>
    </xf>
  </cellXfs>
  <cellStyles count="6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10" xfId="51"/>
    <cellStyle name="Normal 16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9" xfId="59"/>
    <cellStyle name="Normal_Planilha de Preços Unitários 2000-2001" xfId="60"/>
    <cellStyle name="Nota" xfId="61"/>
    <cellStyle name="planilhas" xfId="62"/>
    <cellStyle name="Percent" xfId="63"/>
    <cellStyle name="Porcentagem 2" xfId="64"/>
    <cellStyle name="Porcentagem 2 2" xfId="65"/>
    <cellStyle name="Porcentagem 3" xfId="66"/>
    <cellStyle name="Saída" xfId="67"/>
    <cellStyle name="Comma" xfId="68"/>
    <cellStyle name="Comma [0]" xfId="69"/>
    <cellStyle name="Separador de milhares 2" xfId="70"/>
    <cellStyle name="Separador de milhares 2 2" xfId="71"/>
    <cellStyle name="Texto de Aviso" xfId="72"/>
    <cellStyle name="Texto Explicativo" xfId="73"/>
    <cellStyle name="Título" xfId="74"/>
    <cellStyle name="Título 1" xfId="75"/>
    <cellStyle name="Título 2" xfId="76"/>
    <cellStyle name="Título 3" xfId="77"/>
    <cellStyle name="Título 4" xfId="78"/>
    <cellStyle name="Total" xfId="79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0</xdr:row>
      <xdr:rowOff>0</xdr:rowOff>
    </xdr:from>
    <xdr:to>
      <xdr:col>2</xdr:col>
      <xdr:colOff>342900</xdr:colOff>
      <xdr:row>7</xdr:row>
      <xdr:rowOff>228600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20859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showGridLines="0" tabSelected="1" view="pageBreakPreview" zoomScale="55" zoomScaleNormal="75" zoomScaleSheetLayoutView="55" zoomScalePageLayoutView="0" workbookViewId="0" topLeftCell="A38">
      <selection activeCell="A34" sqref="A34"/>
    </sheetView>
  </sheetViews>
  <sheetFormatPr defaultColWidth="9.140625" defaultRowHeight="21.75" customHeight="1"/>
  <cols>
    <col min="1" max="1" width="28.7109375" style="9" customWidth="1"/>
    <col min="2" max="2" width="9.28125" style="23" customWidth="1"/>
    <col min="3" max="3" width="117.140625" style="24" customWidth="1"/>
    <col min="4" max="4" width="8.7109375" style="9" customWidth="1"/>
    <col min="5" max="5" width="16.00390625" style="9" customWidth="1"/>
    <col min="6" max="8" width="20.421875" style="9" customWidth="1"/>
    <col min="9" max="9" width="28.28125" style="9" customWidth="1"/>
    <col min="10" max="10" width="9.140625" style="9" customWidth="1"/>
    <col min="11" max="11" width="10.28125" style="9" bestFit="1" customWidth="1"/>
    <col min="12" max="16384" width="9.140625" style="9" customWidth="1"/>
  </cols>
  <sheetData>
    <row r="1" spans="1:9" s="4" customFormat="1" ht="21.75" customHeight="1">
      <c r="A1" s="1"/>
      <c r="C1" s="2"/>
      <c r="D1" s="3"/>
      <c r="E1" s="3"/>
      <c r="F1" s="3"/>
      <c r="G1" s="3"/>
      <c r="H1" s="3"/>
      <c r="I1" s="88"/>
    </row>
    <row r="2" spans="2:9" s="4" customFormat="1" ht="10.5" customHeight="1">
      <c r="B2" s="1"/>
      <c r="C2" s="2"/>
      <c r="D2" s="3"/>
      <c r="E2" s="3"/>
      <c r="F2" s="3"/>
      <c r="G2" s="3"/>
      <c r="H2" s="3"/>
      <c r="I2" s="88"/>
    </row>
    <row r="3" spans="1:9" s="4" customFormat="1" ht="21.75" customHeight="1">
      <c r="A3" s="5"/>
      <c r="C3" s="158" t="s">
        <v>73</v>
      </c>
      <c r="D3" s="3"/>
      <c r="E3" s="3"/>
      <c r="F3" s="3"/>
      <c r="G3" s="3"/>
      <c r="H3" s="3"/>
      <c r="I3" s="88"/>
    </row>
    <row r="4" spans="1:9" s="4" customFormat="1" ht="21.75" customHeight="1">
      <c r="A4" s="5"/>
      <c r="C4" s="159"/>
      <c r="D4" s="3"/>
      <c r="E4" s="3"/>
      <c r="F4" s="3"/>
      <c r="G4" s="3"/>
      <c r="H4" s="3"/>
      <c r="I4" s="88"/>
    </row>
    <row r="5" spans="1:9" s="4" customFormat="1" ht="21.75" customHeight="1">
      <c r="A5" s="5"/>
      <c r="C5" s="160" t="s">
        <v>71</v>
      </c>
      <c r="D5" s="3"/>
      <c r="E5" s="3"/>
      <c r="F5" s="3"/>
      <c r="G5" s="3"/>
      <c r="H5" s="3"/>
      <c r="I5" s="88"/>
    </row>
    <row r="6" spans="1:9" s="4" customFormat="1" ht="21.75" customHeight="1">
      <c r="A6" s="5"/>
      <c r="C6" s="160" t="s">
        <v>72</v>
      </c>
      <c r="D6" s="3"/>
      <c r="E6" s="3"/>
      <c r="F6" s="3"/>
      <c r="G6" s="3"/>
      <c r="H6" s="3"/>
      <c r="I6" s="88"/>
    </row>
    <row r="7" spans="1:9" s="4" customFormat="1" ht="21.75" customHeight="1">
      <c r="A7" s="5"/>
      <c r="C7" s="6"/>
      <c r="D7" s="3"/>
      <c r="E7" s="3"/>
      <c r="F7" s="3"/>
      <c r="G7" s="3"/>
      <c r="H7" s="3"/>
      <c r="I7" s="88"/>
    </row>
    <row r="8" spans="1:9" s="4" customFormat="1" ht="21.75" customHeight="1">
      <c r="A8" s="5"/>
      <c r="C8" s="6"/>
      <c r="D8" s="3"/>
      <c r="E8" s="3"/>
      <c r="F8" s="3"/>
      <c r="G8" s="3"/>
      <c r="H8" s="3"/>
      <c r="I8" s="88"/>
    </row>
    <row r="9" spans="1:9" s="4" customFormat="1" ht="33" customHeight="1">
      <c r="A9" s="166" t="s">
        <v>74</v>
      </c>
      <c r="B9" s="167"/>
      <c r="C9" s="167"/>
      <c r="D9" s="167"/>
      <c r="E9" s="167"/>
      <c r="F9" s="167"/>
      <c r="G9" s="167"/>
      <c r="H9" s="167"/>
      <c r="I9" s="168"/>
    </row>
    <row r="10" spans="1:9" s="4" customFormat="1" ht="33" customHeight="1" hidden="1">
      <c r="A10" s="174"/>
      <c r="B10" s="174"/>
      <c r="C10" s="174"/>
      <c r="D10" s="175"/>
      <c r="E10" s="174"/>
      <c r="F10" s="174"/>
      <c r="G10" s="174"/>
      <c r="H10" s="174"/>
      <c r="I10" s="176"/>
    </row>
    <row r="11" spans="1:9" s="4" customFormat="1" ht="21.75" customHeight="1">
      <c r="A11" s="116"/>
      <c r="B11" s="86"/>
      <c r="C11" s="84"/>
      <c r="D11" s="84"/>
      <c r="E11" s="84"/>
      <c r="F11" s="84"/>
      <c r="G11" s="84"/>
      <c r="H11" s="84"/>
      <c r="I11" s="89"/>
    </row>
    <row r="12" spans="1:9" s="4" customFormat="1" ht="21.75" customHeight="1">
      <c r="A12" s="85" t="s">
        <v>75</v>
      </c>
      <c r="B12" s="8"/>
      <c r="C12" s="3"/>
      <c r="D12" s="8" t="s">
        <v>88</v>
      </c>
      <c r="E12" s="8"/>
      <c r="F12" s="8"/>
      <c r="G12" s="8"/>
      <c r="H12" s="8"/>
      <c r="I12" s="90"/>
    </row>
    <row r="13" spans="1:9" s="4" customFormat="1" ht="21.75" customHeight="1">
      <c r="A13" s="85" t="s">
        <v>76</v>
      </c>
      <c r="B13" s="8"/>
      <c r="C13" s="3"/>
      <c r="D13" s="8" t="s">
        <v>80</v>
      </c>
      <c r="E13" s="8"/>
      <c r="F13" s="8"/>
      <c r="G13" s="8"/>
      <c r="H13" s="8"/>
      <c r="I13" s="90"/>
    </row>
    <row r="14" spans="1:9" s="4" customFormat="1" ht="21.75" customHeight="1">
      <c r="A14" s="85" t="s">
        <v>89</v>
      </c>
      <c r="B14" s="8"/>
      <c r="C14" s="3"/>
      <c r="D14" s="8"/>
      <c r="E14" s="8"/>
      <c r="F14" s="8"/>
      <c r="G14" s="8"/>
      <c r="H14" s="8"/>
      <c r="I14" s="90"/>
    </row>
    <row r="15" spans="1:9" s="4" customFormat="1" ht="21.75" customHeight="1">
      <c r="A15" s="115"/>
      <c r="B15" s="177"/>
      <c r="C15" s="177"/>
      <c r="D15" s="177"/>
      <c r="E15" s="177"/>
      <c r="F15" s="177"/>
      <c r="G15" s="177"/>
      <c r="H15" s="177"/>
      <c r="I15" s="178"/>
    </row>
    <row r="16" spans="1:9" ht="24.75" customHeight="1">
      <c r="A16" s="169" t="s">
        <v>37</v>
      </c>
      <c r="B16" s="31" t="s">
        <v>17</v>
      </c>
      <c r="C16" s="30" t="s">
        <v>29</v>
      </c>
      <c r="D16" s="29" t="s">
        <v>28</v>
      </c>
      <c r="E16" s="28" t="s">
        <v>18</v>
      </c>
      <c r="F16" s="171" t="s">
        <v>26</v>
      </c>
      <c r="G16" s="172"/>
      <c r="H16" s="173"/>
      <c r="I16" s="92" t="s">
        <v>19</v>
      </c>
    </row>
    <row r="17" spans="1:9" ht="24.75" customHeight="1">
      <c r="A17" s="170"/>
      <c r="B17" s="80"/>
      <c r="C17" s="10"/>
      <c r="D17" s="78"/>
      <c r="E17" s="79"/>
      <c r="F17" s="93" t="s">
        <v>36</v>
      </c>
      <c r="G17" s="93" t="s">
        <v>35</v>
      </c>
      <c r="H17" s="94" t="s">
        <v>19</v>
      </c>
      <c r="I17" s="91"/>
    </row>
    <row r="18" spans="1:9" ht="33" customHeight="1">
      <c r="A18" s="95"/>
      <c r="B18" s="83">
        <v>1</v>
      </c>
      <c r="C18" s="10" t="s">
        <v>38</v>
      </c>
      <c r="D18" s="11"/>
      <c r="E18" s="12"/>
      <c r="F18" s="12"/>
      <c r="G18" s="96"/>
      <c r="H18" s="96"/>
      <c r="I18" s="96"/>
    </row>
    <row r="19" spans="1:9" ht="33" customHeight="1">
      <c r="A19" s="97" t="s">
        <v>49</v>
      </c>
      <c r="B19" s="81" t="s">
        <v>0</v>
      </c>
      <c r="C19" s="13" t="s">
        <v>41</v>
      </c>
      <c r="D19" s="14" t="s">
        <v>14</v>
      </c>
      <c r="E19" s="15">
        <v>1</v>
      </c>
      <c r="F19" s="98">
        <f>ROUND(0.191*H19,2)</f>
        <v>297.96</v>
      </c>
      <c r="G19" s="99">
        <f>H19-F19</f>
        <v>1262.04</v>
      </c>
      <c r="H19" s="99">
        <v>1560</v>
      </c>
      <c r="I19" s="100">
        <f>ROUND(E19*H19,2)</f>
        <v>1560</v>
      </c>
    </row>
    <row r="20" spans="1:9" ht="33" customHeight="1">
      <c r="A20" s="97" t="s">
        <v>49</v>
      </c>
      <c r="B20" s="81" t="s">
        <v>50</v>
      </c>
      <c r="C20" s="13" t="s">
        <v>51</v>
      </c>
      <c r="D20" s="14" t="s">
        <v>14</v>
      </c>
      <c r="E20" s="15">
        <v>1</v>
      </c>
      <c r="F20" s="98">
        <f>ROUND(0.191*H20,2)</f>
        <v>227.64</v>
      </c>
      <c r="G20" s="99">
        <f>H20-F20</f>
        <v>964.18</v>
      </c>
      <c r="H20" s="99">
        <v>1191.82</v>
      </c>
      <c r="I20" s="100">
        <f>ROUND(E20*H20,2)</f>
        <v>1191.82</v>
      </c>
    </row>
    <row r="21" spans="1:9" ht="33" customHeight="1">
      <c r="A21" s="95"/>
      <c r="B21" s="16" t="str">
        <f>CONCATENATE("TOTAL DO ITEM ",B18," - ",C18)</f>
        <v>TOTAL DO ITEM 1 - SERVIÇOS PRELIMINARES e ACESSIBILIDADE</v>
      </c>
      <c r="C21" s="10"/>
      <c r="D21" s="16"/>
      <c r="E21" s="16"/>
      <c r="F21" s="101"/>
      <c r="G21" s="102"/>
      <c r="H21" s="102"/>
      <c r="I21" s="103">
        <f>SUM(I19:I20)</f>
        <v>2751.8199999999997</v>
      </c>
    </row>
    <row r="22" spans="1:9" ht="33" customHeight="1">
      <c r="A22" s="95"/>
      <c r="B22" s="206">
        <v>2</v>
      </c>
      <c r="C22" s="17" t="s">
        <v>15</v>
      </c>
      <c r="D22" s="18"/>
      <c r="E22" s="19"/>
      <c r="F22" s="104"/>
      <c r="G22" s="105"/>
      <c r="H22" s="105"/>
      <c r="I22" s="106"/>
    </row>
    <row r="23" spans="1:9" ht="33" customHeight="1">
      <c r="A23" s="97" t="s">
        <v>49</v>
      </c>
      <c r="B23" s="81" t="s">
        <v>2</v>
      </c>
      <c r="C23" s="13" t="s">
        <v>39</v>
      </c>
      <c r="D23" s="14" t="s">
        <v>1</v>
      </c>
      <c r="E23" s="15">
        <v>4030</v>
      </c>
      <c r="F23" s="98">
        <v>0.25</v>
      </c>
      <c r="G23" s="99">
        <v>0.75</v>
      </c>
      <c r="H23" s="99">
        <v>1</v>
      </c>
      <c r="I23" s="100">
        <f>ROUND(E23*H23,2)</f>
        <v>4030</v>
      </c>
    </row>
    <row r="24" spans="1:9" ht="33" customHeight="1">
      <c r="A24" s="97" t="s">
        <v>49</v>
      </c>
      <c r="B24" s="81" t="s">
        <v>3</v>
      </c>
      <c r="C24" s="13" t="s">
        <v>87</v>
      </c>
      <c r="D24" s="14" t="s">
        <v>1</v>
      </c>
      <c r="E24" s="15">
        <v>4030</v>
      </c>
      <c r="F24" s="98">
        <v>0.25</v>
      </c>
      <c r="G24" s="99">
        <v>0.75</v>
      </c>
      <c r="H24" s="99">
        <v>1.8</v>
      </c>
      <c r="I24" s="100">
        <f>ROUND(E24*H24,2)</f>
        <v>7254</v>
      </c>
    </row>
    <row r="25" spans="1:9" ht="33" customHeight="1">
      <c r="A25" s="97" t="s">
        <v>49</v>
      </c>
      <c r="B25" s="81" t="s">
        <v>3</v>
      </c>
      <c r="C25" s="13" t="s">
        <v>40</v>
      </c>
      <c r="D25" s="14" t="s">
        <v>1</v>
      </c>
      <c r="E25" s="15">
        <v>4030</v>
      </c>
      <c r="F25" s="98">
        <f>ROUND(0.175*H25,2)</f>
        <v>0.26</v>
      </c>
      <c r="G25" s="99">
        <f>H25-F25</f>
        <v>1.24</v>
      </c>
      <c r="H25" s="99">
        <v>1.5</v>
      </c>
      <c r="I25" s="100">
        <f>ROUND(E25*H25,2)</f>
        <v>6045</v>
      </c>
    </row>
    <row r="26" spans="1:11" ht="33" customHeight="1">
      <c r="A26" s="97" t="s">
        <v>49</v>
      </c>
      <c r="B26" s="81" t="s">
        <v>4</v>
      </c>
      <c r="C26" s="13" t="s">
        <v>84</v>
      </c>
      <c r="D26" s="14" t="s">
        <v>85</v>
      </c>
      <c r="E26" s="15">
        <v>292.56608</v>
      </c>
      <c r="F26" s="98">
        <f>ROUND(0.175*H26,2)</f>
        <v>45.5</v>
      </c>
      <c r="G26" s="99">
        <f>H26-F26</f>
        <v>214.5</v>
      </c>
      <c r="H26" s="99">
        <v>260</v>
      </c>
      <c r="I26" s="100">
        <f>ROUND(E26*H26,2)</f>
        <v>76067.18</v>
      </c>
      <c r="K26" s="165"/>
    </row>
    <row r="27" spans="1:9" ht="33" customHeight="1">
      <c r="A27" s="95"/>
      <c r="B27" s="16" t="str">
        <f>CONCATENATE("TOTAL DO ITEM ",B22," - ",C22)</f>
        <v>TOTAL DO ITEM 2 - PAVIMENTAÇÃO</v>
      </c>
      <c r="C27" s="20"/>
      <c r="D27" s="21"/>
      <c r="E27" s="21"/>
      <c r="F27" s="107"/>
      <c r="G27" s="108"/>
      <c r="H27" s="108"/>
      <c r="I27" s="109">
        <f>SUM(I23:I26)</f>
        <v>93396.18</v>
      </c>
    </row>
    <row r="28" spans="1:9" ht="46.5" customHeight="1">
      <c r="A28" s="95"/>
      <c r="B28" s="82" t="str">
        <f>CONCATENATE("TOTAL ORÇAMENTO - ",A12)</f>
        <v>TOTAL ORÇAMENTO - LOCAL: RUA JOSÉ ANTONIO LÁPIDO</v>
      </c>
      <c r="C28" s="10"/>
      <c r="D28" s="16"/>
      <c r="E28" s="16"/>
      <c r="F28" s="111"/>
      <c r="G28" s="103"/>
      <c r="H28" s="103"/>
      <c r="I28" s="102">
        <f>I27+I21</f>
        <v>96148</v>
      </c>
    </row>
    <row r="29" spans="1:9" ht="24.75" customHeight="1">
      <c r="A29" s="27"/>
      <c r="B29" s="22"/>
      <c r="C29" s="117"/>
      <c r="D29" s="22"/>
      <c r="E29" s="22"/>
      <c r="F29" s="118"/>
      <c r="G29" s="118"/>
      <c r="H29" s="118"/>
      <c r="I29" s="119"/>
    </row>
    <row r="30" spans="1:9" ht="33" customHeight="1">
      <c r="A30" s="27"/>
      <c r="B30" s="22"/>
      <c r="C30" s="117"/>
      <c r="D30" s="22"/>
      <c r="E30" s="22"/>
      <c r="F30" s="118"/>
      <c r="G30" s="118"/>
      <c r="H30" s="118"/>
      <c r="I30" s="119"/>
    </row>
    <row r="31" spans="1:9" ht="21.75" customHeight="1">
      <c r="A31" s="161" t="s">
        <v>77</v>
      </c>
      <c r="B31" s="162"/>
      <c r="C31" s="84"/>
      <c r="D31" s="84" t="s">
        <v>79</v>
      </c>
      <c r="E31" s="84"/>
      <c r="F31" s="84"/>
      <c r="G31" s="84"/>
      <c r="H31" s="84"/>
      <c r="I31" s="89"/>
    </row>
    <row r="32" spans="1:9" ht="21.75" customHeight="1">
      <c r="A32" s="85" t="s">
        <v>78</v>
      </c>
      <c r="B32" s="25"/>
      <c r="C32" s="8"/>
      <c r="D32" s="8" t="s">
        <v>81</v>
      </c>
      <c r="E32" s="8"/>
      <c r="F32" s="8"/>
      <c r="G32" s="8"/>
      <c r="H32" s="8"/>
      <c r="I32" s="90"/>
    </row>
    <row r="33" spans="1:9" ht="21.75" customHeight="1">
      <c r="A33" s="85" t="s">
        <v>95</v>
      </c>
      <c r="B33" s="25"/>
      <c r="C33" s="8"/>
      <c r="D33" s="8"/>
      <c r="E33" s="8"/>
      <c r="F33" s="8"/>
      <c r="G33" s="8"/>
      <c r="H33" s="8"/>
      <c r="I33" s="90"/>
    </row>
    <row r="34" spans="1:9" ht="21.75" customHeight="1">
      <c r="A34" s="122"/>
      <c r="B34" s="120"/>
      <c r="C34" s="22"/>
      <c r="D34" s="22"/>
      <c r="E34" s="22"/>
      <c r="F34" s="22"/>
      <c r="G34" s="22"/>
      <c r="H34" s="22"/>
      <c r="I34" s="121"/>
    </row>
    <row r="35" spans="1:9" ht="24.75" customHeight="1">
      <c r="A35" s="169" t="s">
        <v>37</v>
      </c>
      <c r="B35" s="31" t="s">
        <v>17</v>
      </c>
      <c r="C35" s="30" t="s">
        <v>29</v>
      </c>
      <c r="D35" s="29" t="s">
        <v>28</v>
      </c>
      <c r="E35" s="28" t="s">
        <v>18</v>
      </c>
      <c r="F35" s="171" t="s">
        <v>26</v>
      </c>
      <c r="G35" s="172"/>
      <c r="H35" s="173"/>
      <c r="I35" s="92" t="s">
        <v>19</v>
      </c>
    </row>
    <row r="36" spans="1:9" ht="24.75" customHeight="1">
      <c r="A36" s="170"/>
      <c r="B36" s="80"/>
      <c r="C36" s="10"/>
      <c r="D36" s="78"/>
      <c r="E36" s="79"/>
      <c r="F36" s="93" t="s">
        <v>36</v>
      </c>
      <c r="G36" s="93" t="s">
        <v>35</v>
      </c>
      <c r="H36" s="94" t="s">
        <v>19</v>
      </c>
      <c r="I36" s="91"/>
    </row>
    <row r="37" spans="1:9" ht="33" customHeight="1">
      <c r="A37" s="114"/>
      <c r="B37" s="206">
        <f>$B$22</f>
        <v>2</v>
      </c>
      <c r="C37" s="10" t="str">
        <f>VLOOKUP($B37,$B$16:$I$28,2,FALSE)</f>
        <v>PAVIMENTAÇÃO</v>
      </c>
      <c r="D37" s="11"/>
      <c r="E37" s="12"/>
      <c r="F37" s="104"/>
      <c r="G37" s="104"/>
      <c r="H37" s="104"/>
      <c r="I37" s="110"/>
    </row>
    <row r="38" spans="1:9" ht="33" customHeight="1">
      <c r="A38" s="114" t="str">
        <f>$A$23</f>
        <v>PREFEITURA</v>
      </c>
      <c r="B38" s="81" t="str">
        <f>$B$23</f>
        <v>2.1</v>
      </c>
      <c r="C38" s="13" t="str">
        <f>VLOOKUP($B38,$B$16:$I$28,2,FALSE)</f>
        <v>Limpeza, varrição e lavagem de pista</v>
      </c>
      <c r="D38" s="14" t="str">
        <f>VLOOKUP($B38,$B$16:$I$28,3,FALSE)</f>
        <v>m²</v>
      </c>
      <c r="E38" s="15">
        <v>670</v>
      </c>
      <c r="F38" s="98">
        <f>VLOOKUP($B38,$B$16:$I$28,5,FALSE)</f>
        <v>0.25</v>
      </c>
      <c r="G38" s="99">
        <f>VLOOKUP($B38,$B$16:$I$28,6,FALSE)</f>
        <v>0.75</v>
      </c>
      <c r="H38" s="99">
        <v>1</v>
      </c>
      <c r="I38" s="100">
        <f>ROUND(E38*H38,2)</f>
        <v>670</v>
      </c>
    </row>
    <row r="39" spans="1:9" ht="33" customHeight="1">
      <c r="A39" s="97" t="s">
        <v>49</v>
      </c>
      <c r="B39" s="81" t="s">
        <v>3</v>
      </c>
      <c r="C39" s="13" t="s">
        <v>87</v>
      </c>
      <c r="D39" s="14" t="s">
        <v>1</v>
      </c>
      <c r="E39" s="15">
        <v>670</v>
      </c>
      <c r="F39" s="98">
        <v>0.25</v>
      </c>
      <c r="G39" s="99">
        <v>0.75</v>
      </c>
      <c r="H39" s="99">
        <v>1.8</v>
      </c>
      <c r="I39" s="100">
        <f>ROUND(E39*H39,2)</f>
        <v>1206</v>
      </c>
    </row>
    <row r="40" spans="1:9" ht="33" customHeight="1">
      <c r="A40" s="97" t="s">
        <v>49</v>
      </c>
      <c r="B40" s="81" t="s">
        <v>3</v>
      </c>
      <c r="C40" s="13" t="s">
        <v>40</v>
      </c>
      <c r="D40" s="14" t="s">
        <v>1</v>
      </c>
      <c r="E40" s="15">
        <v>670</v>
      </c>
      <c r="F40" s="98">
        <f>ROUND(0.175*H40,2)</f>
        <v>0.26</v>
      </c>
      <c r="G40" s="99">
        <f>H40-F40</f>
        <v>1.24</v>
      </c>
      <c r="H40" s="99">
        <v>1.5</v>
      </c>
      <c r="I40" s="100">
        <f>ROUND(E40*H40,2)</f>
        <v>1005</v>
      </c>
    </row>
    <row r="41" spans="1:9" ht="33" customHeight="1">
      <c r="A41" s="114" t="str">
        <f>$A$26</f>
        <v>PREFEITURA</v>
      </c>
      <c r="B41" s="81" t="str">
        <f>$B$26</f>
        <v>2.3</v>
      </c>
      <c r="C41" s="13" t="str">
        <f>VLOOKUP($B41,$B$16:$I$28,2,FALSE)</f>
        <v>Camada de Regularização: Fabricação e Aplicação de Concreto Betuminoso Usinado a Quente (CBUQ), CAP 50/70, (Esp.: 3,0cm), inclusive transporte</v>
      </c>
      <c r="D41" s="14" t="str">
        <f>VLOOKUP($B41,$B$16:$I$28,3,FALSE)</f>
        <v>ton</v>
      </c>
      <c r="E41" s="15">
        <v>48</v>
      </c>
      <c r="F41" s="98">
        <f>VLOOKUP($B41,$B$16:$I$28,5,FALSE)</f>
        <v>45.5</v>
      </c>
      <c r="G41" s="99">
        <f>VLOOKUP($B41,$B$16:$I$28,6,FALSE)</f>
        <v>214.5</v>
      </c>
      <c r="H41" s="99">
        <v>260</v>
      </c>
      <c r="I41" s="100">
        <f>ROUND(E41*H41,2)</f>
        <v>12480</v>
      </c>
    </row>
    <row r="42" spans="1:9" ht="33" customHeight="1">
      <c r="A42" s="114"/>
      <c r="B42" s="82" t="str">
        <f>CONCATENATE("TOTAL DO ITEM ",B37," - ",C37)</f>
        <v>TOTAL DO ITEM 2 - PAVIMENTAÇÃO</v>
      </c>
      <c r="C42" s="20"/>
      <c r="D42" s="21"/>
      <c r="E42" s="21"/>
      <c r="F42" s="107"/>
      <c r="G42" s="107"/>
      <c r="H42" s="107"/>
      <c r="I42" s="113">
        <f>SUM(I38:I41)</f>
        <v>15361</v>
      </c>
    </row>
    <row r="43" spans="1:9" ht="33" customHeight="1" hidden="1">
      <c r="A43" s="163"/>
      <c r="B43" s="21"/>
      <c r="C43" s="20"/>
      <c r="D43" s="21"/>
      <c r="E43" s="21"/>
      <c r="F43" s="164"/>
      <c r="G43" s="164"/>
      <c r="H43" s="164"/>
      <c r="I43" s="109"/>
    </row>
    <row r="44" spans="1:9" ht="33" customHeight="1">
      <c r="A44" s="163"/>
      <c r="B44" s="21"/>
      <c r="C44" s="20"/>
      <c r="D44" s="21"/>
      <c r="E44" s="21"/>
      <c r="F44" s="164"/>
      <c r="G44" s="164"/>
      <c r="H44" s="164"/>
      <c r="I44" s="109"/>
    </row>
    <row r="45" spans="1:9" ht="21.75" customHeight="1">
      <c r="A45" s="161" t="s">
        <v>82</v>
      </c>
      <c r="B45" s="162"/>
      <c r="C45" s="84"/>
      <c r="D45" s="84" t="s">
        <v>79</v>
      </c>
      <c r="E45" s="84"/>
      <c r="F45" s="84"/>
      <c r="G45" s="84"/>
      <c r="H45" s="84"/>
      <c r="I45" s="89"/>
    </row>
    <row r="46" spans="1:9" ht="21.75" customHeight="1">
      <c r="A46" s="85" t="s">
        <v>78</v>
      </c>
      <c r="B46" s="25"/>
      <c r="C46" s="8"/>
      <c r="D46" s="8" t="s">
        <v>83</v>
      </c>
      <c r="E46" s="8"/>
      <c r="F46" s="8"/>
      <c r="G46" s="8"/>
      <c r="H46" s="8"/>
      <c r="I46" s="90"/>
    </row>
    <row r="47" spans="1:9" ht="21.75" customHeight="1">
      <c r="A47" s="85" t="s">
        <v>90</v>
      </c>
      <c r="B47" s="25"/>
      <c r="C47" s="8"/>
      <c r="D47" s="8"/>
      <c r="E47" s="8"/>
      <c r="F47" s="8"/>
      <c r="G47" s="8"/>
      <c r="H47" s="8"/>
      <c r="I47" s="90"/>
    </row>
    <row r="48" spans="1:9" ht="21.75" customHeight="1" hidden="1">
      <c r="A48" s="122"/>
      <c r="B48" s="120"/>
      <c r="C48" s="22"/>
      <c r="D48" s="22"/>
      <c r="E48" s="22"/>
      <c r="F48" s="22"/>
      <c r="G48" s="22"/>
      <c r="H48" s="22"/>
      <c r="I48" s="121"/>
    </row>
    <row r="49" spans="1:9" ht="33" customHeight="1">
      <c r="A49" s="169" t="s">
        <v>37</v>
      </c>
      <c r="B49" s="31" t="s">
        <v>17</v>
      </c>
      <c r="C49" s="30" t="s">
        <v>29</v>
      </c>
      <c r="D49" s="29" t="s">
        <v>28</v>
      </c>
      <c r="E49" s="28" t="s">
        <v>18</v>
      </c>
      <c r="F49" s="171" t="s">
        <v>26</v>
      </c>
      <c r="G49" s="172"/>
      <c r="H49" s="173"/>
      <c r="I49" s="92" t="s">
        <v>19</v>
      </c>
    </row>
    <row r="50" spans="1:9" ht="33" customHeight="1">
      <c r="A50" s="170"/>
      <c r="B50" s="80"/>
      <c r="C50" s="10"/>
      <c r="D50" s="78"/>
      <c r="E50" s="79"/>
      <c r="F50" s="93" t="s">
        <v>36</v>
      </c>
      <c r="G50" s="93" t="s">
        <v>35</v>
      </c>
      <c r="H50" s="94" t="s">
        <v>19</v>
      </c>
      <c r="I50" s="91"/>
    </row>
    <row r="51" spans="1:9" ht="33" customHeight="1">
      <c r="A51" s="114"/>
      <c r="B51" s="206">
        <f>$B$22</f>
        <v>2</v>
      </c>
      <c r="C51" s="10" t="str">
        <f>VLOOKUP($B51,$B$16:$I$28,2,FALSE)</f>
        <v>PAVIMENTAÇÃO</v>
      </c>
      <c r="D51" s="11"/>
      <c r="E51" s="12"/>
      <c r="F51" s="104"/>
      <c r="G51" s="104"/>
      <c r="H51" s="104"/>
      <c r="I51" s="110"/>
    </row>
    <row r="52" spans="1:9" ht="33" customHeight="1">
      <c r="A52" s="114" t="str">
        <f>$A$23</f>
        <v>PREFEITURA</v>
      </c>
      <c r="B52" s="81" t="str">
        <f>$B$23</f>
        <v>2.1</v>
      </c>
      <c r="C52" s="13" t="str">
        <f>VLOOKUP($B52,$B$16:$I$28,2,FALSE)</f>
        <v>Limpeza, varrição e lavagem de pista</v>
      </c>
      <c r="D52" s="14" t="str">
        <f>VLOOKUP($B52,$B$16:$I$28,3,FALSE)</f>
        <v>m²</v>
      </c>
      <c r="E52" s="15">
        <v>1070</v>
      </c>
      <c r="F52" s="98">
        <f>VLOOKUP($B52,$B$16:$I$28,5,FALSE)</f>
        <v>0.25</v>
      </c>
      <c r="G52" s="99">
        <f>VLOOKUP($B52,$B$16:$I$28,6,FALSE)</f>
        <v>0.75</v>
      </c>
      <c r="H52" s="99">
        <f>VLOOKUP($B52,$B$16:$I$28,7,FALSE)</f>
        <v>1</v>
      </c>
      <c r="I52" s="100">
        <f>ROUND(E52*H52,2)</f>
        <v>1070</v>
      </c>
    </row>
    <row r="53" spans="1:9" ht="33" customHeight="1">
      <c r="A53" s="114" t="str">
        <f>$A$25</f>
        <v>PREFEITURA</v>
      </c>
      <c r="B53" s="81" t="str">
        <f>$B$25</f>
        <v>2.2</v>
      </c>
      <c r="C53" s="13" t="str">
        <f>VLOOKUP($B53,$B$16:$I$28,2,FALSE)</f>
        <v>Reperfilagem e Correção da Pista</v>
      </c>
      <c r="D53" s="14" t="str">
        <f>VLOOKUP($B53,$B$16:$I$28,3,FALSE)</f>
        <v>m²</v>
      </c>
      <c r="E53" s="15">
        <f>E52</f>
        <v>1070</v>
      </c>
      <c r="F53" s="98">
        <f>VLOOKUP($B53,$B$16:$I$28,5,FALSE)</f>
        <v>0.25</v>
      </c>
      <c r="G53" s="99">
        <f>VLOOKUP($B53,$B$16:$I$28,6,FALSE)</f>
        <v>0.75</v>
      </c>
      <c r="H53" s="99">
        <f>VLOOKUP($B53,$B$16:$I$28,7,FALSE)</f>
        <v>1.8</v>
      </c>
      <c r="I53" s="100">
        <f>ROUND(E53*H53,2)</f>
        <v>1926</v>
      </c>
    </row>
    <row r="54" spans="1:9" ht="33" customHeight="1">
      <c r="A54" s="97" t="s">
        <v>49</v>
      </c>
      <c r="B54" s="81" t="s">
        <v>3</v>
      </c>
      <c r="C54" s="13" t="s">
        <v>40</v>
      </c>
      <c r="D54" s="14" t="s">
        <v>1</v>
      </c>
      <c r="E54" s="15">
        <f>E53</f>
        <v>1070</v>
      </c>
      <c r="F54" s="98">
        <f>ROUND(0.175*H54,2)</f>
        <v>0.26</v>
      </c>
      <c r="G54" s="99">
        <f>H54-F54</f>
        <v>1.24</v>
      </c>
      <c r="H54" s="99">
        <v>1.5</v>
      </c>
      <c r="I54" s="100">
        <f>ROUND(E54*H54,2)</f>
        <v>1605</v>
      </c>
    </row>
    <row r="55" spans="1:9" ht="33" customHeight="1">
      <c r="A55" s="114" t="str">
        <f>$A$26</f>
        <v>PREFEITURA</v>
      </c>
      <c r="B55" s="81" t="str">
        <f>$B$26</f>
        <v>2.3</v>
      </c>
      <c r="C55" s="13" t="str">
        <f>VLOOKUP($B55,$B$16:$I$28,2,FALSE)</f>
        <v>Camada de Regularização: Fabricação e Aplicação de Concreto Betuminoso Usinado a Quente (CBUQ), CAP 50/70, (Esp.: 3,0cm), inclusive transporte</v>
      </c>
      <c r="D55" s="14" t="str">
        <f>VLOOKUP($B55,$B$16:$I$28,3,FALSE)</f>
        <v>ton</v>
      </c>
      <c r="E55" s="15">
        <v>76.5</v>
      </c>
      <c r="F55" s="98">
        <f>VLOOKUP($B55,$B$16:$I$28,5,FALSE)</f>
        <v>45.5</v>
      </c>
      <c r="G55" s="99">
        <f>VLOOKUP($B55,$B$16:$I$28,6,FALSE)</f>
        <v>214.5</v>
      </c>
      <c r="H55" s="99">
        <f>VLOOKUP($B55,$B$16:$I$28,7,FALSE)</f>
        <v>260</v>
      </c>
      <c r="I55" s="100">
        <f>ROUND(E55*H55,2)</f>
        <v>19890</v>
      </c>
    </row>
    <row r="56" spans="1:9" ht="33" customHeight="1">
      <c r="A56" s="95"/>
      <c r="B56" s="82" t="str">
        <f>CONCATENATE("TOTAL ORÇAMENTO - ",A45)</f>
        <v>TOTAL ORÇAMENTO - LOCAL: LUIZ MOURINHO</v>
      </c>
      <c r="C56" s="10"/>
      <c r="D56" s="16"/>
      <c r="E56" s="16"/>
      <c r="F56" s="111"/>
      <c r="G56" s="111"/>
      <c r="H56" s="111"/>
      <c r="I56" s="112">
        <f>SUM(I52:I55)</f>
        <v>24491</v>
      </c>
    </row>
    <row r="57" spans="1:9" ht="33" customHeight="1">
      <c r="A57" s="163"/>
      <c r="B57" s="21"/>
      <c r="C57" s="20"/>
      <c r="D57" s="21"/>
      <c r="E57" s="21"/>
      <c r="F57" s="164"/>
      <c r="G57" s="164"/>
      <c r="H57" s="164"/>
      <c r="I57" s="109"/>
    </row>
    <row r="58" spans="1:9" ht="21.75" customHeight="1">
      <c r="A58" s="187" t="s">
        <v>86</v>
      </c>
      <c r="B58" s="187"/>
      <c r="C58" s="187"/>
      <c r="D58" s="187"/>
      <c r="E58" s="187"/>
      <c r="F58" s="187"/>
      <c r="G58" s="187"/>
      <c r="H58" s="187"/>
      <c r="I58" s="188">
        <f>I28+I42+I56</f>
        <v>136000</v>
      </c>
    </row>
    <row r="59" spans="1:9" ht="21.75" customHeight="1">
      <c r="A59" s="187"/>
      <c r="B59" s="187"/>
      <c r="C59" s="187"/>
      <c r="D59" s="187"/>
      <c r="E59" s="187"/>
      <c r="F59" s="187"/>
      <c r="G59" s="187"/>
      <c r="H59" s="187"/>
      <c r="I59" s="187"/>
    </row>
    <row r="62" spans="3:7" ht="21.75" customHeight="1">
      <c r="C62" s="207" t="s">
        <v>93</v>
      </c>
      <c r="G62" s="9" t="s">
        <v>94</v>
      </c>
    </row>
    <row r="63" ht="21.75" customHeight="1">
      <c r="C63" s="207" t="s">
        <v>91</v>
      </c>
    </row>
    <row r="64" ht="21.75" customHeight="1">
      <c r="C64" s="207" t="s">
        <v>92</v>
      </c>
    </row>
    <row r="83" spans="2:9" s="4" customFormat="1" ht="21.75" customHeight="1">
      <c r="B83" s="179" t="e">
        <f>CONCATENATE("ORÇAMENTO PARA ",#REF!)</f>
        <v>#REF!</v>
      </c>
      <c r="C83" s="179"/>
      <c r="D83" s="179"/>
      <c r="E83" s="179"/>
      <c r="F83" s="179"/>
      <c r="G83" s="179"/>
      <c r="H83" s="179"/>
      <c r="I83" s="179"/>
    </row>
    <row r="84" spans="2:9" s="4" customFormat="1" ht="21.75" customHeight="1">
      <c r="B84" s="1" t="e">
        <f>#REF!</f>
        <v>#REF!</v>
      </c>
      <c r="C84" s="2"/>
      <c r="D84" s="3"/>
      <c r="E84" s="3"/>
      <c r="F84" s="3"/>
      <c r="G84" s="3"/>
      <c r="H84" s="3"/>
      <c r="I84" s="88"/>
    </row>
    <row r="85" spans="2:9" s="4" customFormat="1" ht="21.75" customHeight="1">
      <c r="B85" s="1"/>
      <c r="C85" s="2"/>
      <c r="D85" s="3"/>
      <c r="E85" s="3"/>
      <c r="F85" s="3"/>
      <c r="G85" s="3"/>
      <c r="H85" s="3"/>
      <c r="I85" s="88"/>
    </row>
    <row r="86" spans="2:9" s="4" customFormat="1" ht="21.75" customHeight="1">
      <c r="B86" s="7" t="e">
        <f>#REF!</f>
        <v>#REF!</v>
      </c>
      <c r="C86" s="6"/>
      <c r="D86" s="3"/>
      <c r="E86" s="3"/>
      <c r="F86" s="3"/>
      <c r="G86" s="3"/>
      <c r="H86" s="3"/>
      <c r="I86" s="88"/>
    </row>
    <row r="87" spans="2:9" s="4" customFormat="1" ht="21.75" customHeight="1">
      <c r="B87" s="25"/>
      <c r="C87" s="2"/>
      <c r="D87" s="3"/>
      <c r="E87" s="3"/>
      <c r="F87" s="3"/>
      <c r="G87" s="3"/>
      <c r="H87" s="3"/>
      <c r="I87" s="3"/>
    </row>
    <row r="88" spans="2:9" s="4" customFormat="1" ht="21.75" customHeight="1">
      <c r="B88" s="8" t="e">
        <f>CONCATENATE(#REF!," ",#REF!)</f>
        <v>#REF!</v>
      </c>
      <c r="C88" s="8"/>
      <c r="D88" s="8"/>
      <c r="E88" s="8"/>
      <c r="F88" s="8"/>
      <c r="G88" s="8"/>
      <c r="H88" s="8"/>
      <c r="I88" s="8"/>
    </row>
    <row r="89" spans="2:9" s="4" customFormat="1" ht="21.75" customHeight="1">
      <c r="B89" s="180" t="s">
        <v>24</v>
      </c>
      <c r="C89" s="180"/>
      <c r="D89" s="180"/>
      <c r="E89" s="180"/>
      <c r="F89" s="180"/>
      <c r="G89" s="180"/>
      <c r="H89" s="180"/>
      <c r="I89" s="180"/>
    </row>
    <row r="90" spans="2:9" ht="21.75" customHeight="1">
      <c r="B90" s="194" t="s">
        <v>23</v>
      </c>
      <c r="C90" s="194"/>
      <c r="D90" s="194"/>
      <c r="E90" s="194"/>
      <c r="F90" s="181" t="s">
        <v>19</v>
      </c>
      <c r="G90" s="182"/>
      <c r="H90" s="182"/>
      <c r="I90" s="183"/>
    </row>
    <row r="91" spans="2:9" ht="21.75" customHeight="1">
      <c r="B91" s="194"/>
      <c r="C91" s="194"/>
      <c r="D91" s="194"/>
      <c r="E91" s="194"/>
      <c r="F91" s="184"/>
      <c r="G91" s="185"/>
      <c r="H91" s="185"/>
      <c r="I91" s="186"/>
    </row>
    <row r="92" spans="2:9" ht="21.75" customHeight="1">
      <c r="B92" s="26">
        <v>1</v>
      </c>
      <c r="C92" s="191" t="e">
        <f>VLOOKUP($B92,$J:$O,2,FALSE)</f>
        <v>#N/A</v>
      </c>
      <c r="D92" s="192"/>
      <c r="E92" s="193"/>
      <c r="F92" s="189" t="e">
        <f>VLOOKUP($B92,$J:$O,4,FALSE)</f>
        <v>#N/A</v>
      </c>
      <c r="G92" s="189"/>
      <c r="H92" s="189"/>
      <c r="I92" s="189"/>
    </row>
    <row r="93" spans="2:9" ht="21.75" customHeight="1">
      <c r="B93" s="26">
        <v>2</v>
      </c>
      <c r="C93" s="191" t="e">
        <f>VLOOKUP($B93,$J:$O,2,FALSE)</f>
        <v>#N/A</v>
      </c>
      <c r="D93" s="192"/>
      <c r="E93" s="193"/>
      <c r="F93" s="189" t="e">
        <f>VLOOKUP($B93,$J:$O,4,FALSE)</f>
        <v>#N/A</v>
      </c>
      <c r="G93" s="189"/>
      <c r="H93" s="189"/>
      <c r="I93" s="189"/>
    </row>
    <row r="94" spans="2:9" ht="21.75" customHeight="1">
      <c r="B94" s="26">
        <v>3</v>
      </c>
      <c r="C94" s="191" t="e">
        <f>VLOOKUP($B94,$J:$O,2,FALSE)</f>
        <v>#N/A</v>
      </c>
      <c r="D94" s="192"/>
      <c r="E94" s="193"/>
      <c r="F94" s="189" t="e">
        <f>VLOOKUP($B94,$J:$O,4,FALSE)</f>
        <v>#N/A</v>
      </c>
      <c r="G94" s="189"/>
      <c r="H94" s="189"/>
      <c r="I94" s="189"/>
    </row>
    <row r="95" spans="2:9" ht="21.75" customHeight="1">
      <c r="B95" s="26">
        <v>4</v>
      </c>
      <c r="C95" s="191" t="e">
        <f>VLOOKUP($B95,$J:$O,2,FALSE)</f>
        <v>#N/A</v>
      </c>
      <c r="D95" s="192"/>
      <c r="E95" s="193"/>
      <c r="F95" s="189" t="e">
        <f>VLOOKUP($B95,$J:$O,4,FALSE)</f>
        <v>#N/A</v>
      </c>
      <c r="G95" s="189"/>
      <c r="H95" s="189"/>
      <c r="I95" s="189"/>
    </row>
    <row r="96" spans="2:9" ht="21.75" customHeight="1">
      <c r="B96" s="26">
        <v>5</v>
      </c>
      <c r="C96" s="191" t="e">
        <f>VLOOKUP($B96,$J:$O,2,FALSE)</f>
        <v>#N/A</v>
      </c>
      <c r="D96" s="192"/>
      <c r="E96" s="193"/>
      <c r="F96" s="189" t="e">
        <f>VLOOKUP($B96,$J:$O,4,FALSE)</f>
        <v>#N/A</v>
      </c>
      <c r="G96" s="189"/>
      <c r="H96" s="189"/>
      <c r="I96" s="189"/>
    </row>
    <row r="97" spans="2:9" ht="21.75" customHeight="1">
      <c r="B97" s="26">
        <v>6</v>
      </c>
      <c r="C97" s="191" t="e">
        <f>VLOOKUP($B97,$J:$O,2,FALSE)</f>
        <v>#N/A</v>
      </c>
      <c r="D97" s="192"/>
      <c r="E97" s="193"/>
      <c r="F97" s="189" t="e">
        <f>VLOOKUP($B97,$J:$O,4,FALSE)</f>
        <v>#N/A</v>
      </c>
      <c r="G97" s="189"/>
      <c r="H97" s="189"/>
      <c r="I97" s="189"/>
    </row>
    <row r="98" spans="2:9" ht="21.75" customHeight="1">
      <c r="B98" s="26">
        <v>7</v>
      </c>
      <c r="C98" s="191" t="e">
        <f>VLOOKUP($B98,$J:$O,2,FALSE)</f>
        <v>#N/A</v>
      </c>
      <c r="D98" s="192"/>
      <c r="E98" s="193"/>
      <c r="F98" s="189" t="e">
        <f>VLOOKUP($B98,$J:$O,4,FALSE)</f>
        <v>#N/A</v>
      </c>
      <c r="G98" s="189"/>
      <c r="H98" s="189"/>
      <c r="I98" s="189"/>
    </row>
    <row r="99" spans="2:9" ht="21.75" customHeight="1">
      <c r="B99" s="26">
        <v>8</v>
      </c>
      <c r="C99" s="191" t="e">
        <f>VLOOKUP($B99,$J:$O,2,FALSE)</f>
        <v>#N/A</v>
      </c>
      <c r="D99" s="192"/>
      <c r="E99" s="193"/>
      <c r="F99" s="189" t="e">
        <f>VLOOKUP($B99,$J:$O,4,FALSE)</f>
        <v>#N/A</v>
      </c>
      <c r="G99" s="189"/>
      <c r="H99" s="189"/>
      <c r="I99" s="189"/>
    </row>
    <row r="100" spans="2:9" ht="21.75" customHeight="1">
      <c r="B100" s="26">
        <v>9</v>
      </c>
      <c r="C100" s="191" t="e">
        <f>VLOOKUP($B100,$J:$O,2,FALSE)</f>
        <v>#N/A</v>
      </c>
      <c r="D100" s="192"/>
      <c r="E100" s="193"/>
      <c r="F100" s="189" t="e">
        <f>VLOOKUP($B100,$J:$O,4,FALSE)</f>
        <v>#N/A</v>
      </c>
      <c r="G100" s="189"/>
      <c r="H100" s="189"/>
      <c r="I100" s="189"/>
    </row>
    <row r="101" spans="2:9" ht="21.75" customHeight="1">
      <c r="B101" s="26">
        <v>10</v>
      </c>
      <c r="C101" s="191" t="e">
        <f>VLOOKUP($B101,$J:$O,2,FALSE)</f>
        <v>#N/A</v>
      </c>
      <c r="D101" s="192"/>
      <c r="E101" s="193"/>
      <c r="F101" s="189" t="e">
        <f>VLOOKUP($B101,$J:$O,4,FALSE)</f>
        <v>#N/A</v>
      </c>
      <c r="G101" s="189"/>
      <c r="H101" s="189"/>
      <c r="I101" s="189"/>
    </row>
    <row r="102" spans="2:9" ht="21.75" customHeight="1">
      <c r="B102" s="26">
        <v>11</v>
      </c>
      <c r="C102" s="191" t="e">
        <f>VLOOKUP($B102,$J:$O,2,FALSE)</f>
        <v>#N/A</v>
      </c>
      <c r="D102" s="192"/>
      <c r="E102" s="193"/>
      <c r="F102" s="189" t="e">
        <f>VLOOKUP($B102,$J:$O,4,FALSE)</f>
        <v>#N/A</v>
      </c>
      <c r="G102" s="189"/>
      <c r="H102" s="189"/>
      <c r="I102" s="189"/>
    </row>
    <row r="103" spans="2:9" ht="21.75" customHeight="1">
      <c r="B103" s="26">
        <v>12</v>
      </c>
      <c r="C103" s="191" t="e">
        <f>VLOOKUP($B103,$J:$O,2,FALSE)</f>
        <v>#N/A</v>
      </c>
      <c r="D103" s="192"/>
      <c r="E103" s="193"/>
      <c r="F103" s="189" t="e">
        <f>VLOOKUP($B103,$J:$O,4,FALSE)</f>
        <v>#N/A</v>
      </c>
      <c r="G103" s="189"/>
      <c r="H103" s="189"/>
      <c r="I103" s="189"/>
    </row>
    <row r="104" spans="2:9" ht="21.75" customHeight="1">
      <c r="B104" s="26">
        <v>13</v>
      </c>
      <c r="C104" s="191" t="e">
        <f>VLOOKUP($B104,$J:$O,2,FALSE)</f>
        <v>#N/A</v>
      </c>
      <c r="D104" s="192"/>
      <c r="E104" s="193"/>
      <c r="F104" s="189" t="e">
        <f>VLOOKUP($B104,$J:$O,4,FALSE)</f>
        <v>#N/A</v>
      </c>
      <c r="G104" s="189"/>
      <c r="H104" s="189"/>
      <c r="I104" s="189"/>
    </row>
    <row r="105" spans="2:9" ht="21.75" customHeight="1">
      <c r="B105" s="26">
        <v>14</v>
      </c>
      <c r="C105" s="191" t="e">
        <f>VLOOKUP($B105,$J:$O,2,FALSE)</f>
        <v>#N/A</v>
      </c>
      <c r="D105" s="192"/>
      <c r="E105" s="193"/>
      <c r="F105" s="189" t="e">
        <f>VLOOKUP($B105,$J:$O,4,FALSE)</f>
        <v>#N/A</v>
      </c>
      <c r="G105" s="189"/>
      <c r="H105" s="189"/>
      <c r="I105" s="189"/>
    </row>
    <row r="106" spans="2:9" ht="21.75" customHeight="1">
      <c r="B106" s="26">
        <v>15</v>
      </c>
      <c r="C106" s="191" t="e">
        <f>VLOOKUP($B106,$J:$O,2,FALSE)</f>
        <v>#N/A</v>
      </c>
      <c r="D106" s="192"/>
      <c r="E106" s="193"/>
      <c r="F106" s="189" t="e">
        <f>VLOOKUP($B106,$J:$O,4,FALSE)</f>
        <v>#N/A</v>
      </c>
      <c r="G106" s="189"/>
      <c r="H106" s="189"/>
      <c r="I106" s="189"/>
    </row>
    <row r="107" spans="2:9" ht="21.75" customHeight="1">
      <c r="B107" s="26">
        <v>16</v>
      </c>
      <c r="C107" s="191" t="e">
        <f>VLOOKUP($B107,$J:$O,2,FALSE)</f>
        <v>#N/A</v>
      </c>
      <c r="D107" s="192"/>
      <c r="E107" s="193"/>
      <c r="F107" s="189" t="e">
        <f>VLOOKUP($B107,$J:$O,4,FALSE)</f>
        <v>#N/A</v>
      </c>
      <c r="G107" s="189"/>
      <c r="H107" s="189"/>
      <c r="I107" s="189"/>
    </row>
    <row r="108" spans="2:9" ht="21.75" customHeight="1">
      <c r="B108" s="26">
        <v>17</v>
      </c>
      <c r="C108" s="191" t="e">
        <f>VLOOKUP($B108,$J:$O,2,FALSE)</f>
        <v>#N/A</v>
      </c>
      <c r="D108" s="192"/>
      <c r="E108" s="193"/>
      <c r="F108" s="189" t="e">
        <f>VLOOKUP($B108,$J:$O,4,FALSE)</f>
        <v>#N/A</v>
      </c>
      <c r="G108" s="189"/>
      <c r="H108" s="189"/>
      <c r="I108" s="189"/>
    </row>
    <row r="109" spans="2:9" ht="21.75" customHeight="1">
      <c r="B109" s="26">
        <v>18</v>
      </c>
      <c r="C109" s="191" t="e">
        <f>VLOOKUP($B109,$J:$O,2,FALSE)</f>
        <v>#N/A</v>
      </c>
      <c r="D109" s="192"/>
      <c r="E109" s="193"/>
      <c r="F109" s="189" t="e">
        <f>VLOOKUP($B109,$J:$O,4,FALSE)</f>
        <v>#N/A</v>
      </c>
      <c r="G109" s="189"/>
      <c r="H109" s="189"/>
      <c r="I109" s="189"/>
    </row>
    <row r="110" spans="2:9" ht="21.75" customHeight="1">
      <c r="B110" s="26">
        <v>19</v>
      </c>
      <c r="C110" s="191" t="e">
        <f>VLOOKUP($B110,$J:$O,2,FALSE)</f>
        <v>#N/A</v>
      </c>
      <c r="D110" s="192"/>
      <c r="E110" s="193"/>
      <c r="F110" s="189" t="e">
        <f>VLOOKUP($B110,$J:$O,4,FALSE)</f>
        <v>#N/A</v>
      </c>
      <c r="G110" s="189"/>
      <c r="H110" s="189"/>
      <c r="I110" s="189"/>
    </row>
    <row r="111" spans="2:9" ht="21.75" customHeight="1">
      <c r="B111" s="26">
        <v>20</v>
      </c>
      <c r="C111" s="191" t="e">
        <f>VLOOKUP($B111,$J:$O,2,FALSE)</f>
        <v>#N/A</v>
      </c>
      <c r="D111" s="192"/>
      <c r="E111" s="193"/>
      <c r="F111" s="189" t="e">
        <f>VLOOKUP($B111,$J:$O,4,FALSE)</f>
        <v>#N/A</v>
      </c>
      <c r="G111" s="189"/>
      <c r="H111" s="189"/>
      <c r="I111" s="189"/>
    </row>
    <row r="112" spans="2:9" ht="21.75" customHeight="1">
      <c r="B112" s="26">
        <v>21</v>
      </c>
      <c r="C112" s="191" t="e">
        <f>VLOOKUP($B112,$J:$O,2,FALSE)</f>
        <v>#N/A</v>
      </c>
      <c r="D112" s="192"/>
      <c r="E112" s="193"/>
      <c r="F112" s="190" t="e">
        <f>VLOOKUP($B112,$J:$O,4,FALSE)</f>
        <v>#N/A</v>
      </c>
      <c r="G112" s="190"/>
      <c r="H112" s="190"/>
      <c r="I112" s="190"/>
    </row>
    <row r="113" spans="2:9" ht="21.75" customHeight="1">
      <c r="B113" s="194" t="s">
        <v>19</v>
      </c>
      <c r="C113" s="194"/>
      <c r="D113" s="194"/>
      <c r="E113" s="194"/>
      <c r="F113" s="188" t="e">
        <f>SUM(F92:I112)</f>
        <v>#N/A</v>
      </c>
      <c r="G113" s="188"/>
      <c r="H113" s="188"/>
      <c r="I113" s="187"/>
    </row>
    <row r="114" spans="2:9" ht="21.75" customHeight="1">
      <c r="B114" s="194"/>
      <c r="C114" s="194"/>
      <c r="D114" s="194"/>
      <c r="E114" s="194"/>
      <c r="F114" s="187"/>
      <c r="G114" s="187"/>
      <c r="H114" s="187"/>
      <c r="I114" s="187"/>
    </row>
  </sheetData>
  <sheetProtection/>
  <mergeCells count="59">
    <mergeCell ref="F113:I114"/>
    <mergeCell ref="C110:E110"/>
    <mergeCell ref="C111:E111"/>
    <mergeCell ref="C112:E112"/>
    <mergeCell ref="B90:E91"/>
    <mergeCell ref="B113:E114"/>
    <mergeCell ref="C104:E104"/>
    <mergeCell ref="C105:E105"/>
    <mergeCell ref="C106:E106"/>
    <mergeCell ref="C107:E107"/>
    <mergeCell ref="C109:E109"/>
    <mergeCell ref="C98:E98"/>
    <mergeCell ref="C99:E99"/>
    <mergeCell ref="C100:E100"/>
    <mergeCell ref="C101:E101"/>
    <mergeCell ref="C102:E102"/>
    <mergeCell ref="C103:E103"/>
    <mergeCell ref="F110:I110"/>
    <mergeCell ref="F111:I111"/>
    <mergeCell ref="F112:I112"/>
    <mergeCell ref="C92:E92"/>
    <mergeCell ref="C93:E93"/>
    <mergeCell ref="C94:E94"/>
    <mergeCell ref="C95:E95"/>
    <mergeCell ref="C96:E96"/>
    <mergeCell ref="C97:E97"/>
    <mergeCell ref="C108:E108"/>
    <mergeCell ref="F104:I104"/>
    <mergeCell ref="F105:I105"/>
    <mergeCell ref="F106:I106"/>
    <mergeCell ref="F107:I107"/>
    <mergeCell ref="F108:I108"/>
    <mergeCell ref="F109:I109"/>
    <mergeCell ref="F98:I98"/>
    <mergeCell ref="F99:I99"/>
    <mergeCell ref="F100:I100"/>
    <mergeCell ref="F101:I101"/>
    <mergeCell ref="F102:I102"/>
    <mergeCell ref="F103:I103"/>
    <mergeCell ref="F92:I92"/>
    <mergeCell ref="F93:I93"/>
    <mergeCell ref="F94:I94"/>
    <mergeCell ref="F95:I95"/>
    <mergeCell ref="F96:I96"/>
    <mergeCell ref="F97:I97"/>
    <mergeCell ref="B89:I89"/>
    <mergeCell ref="F90:I91"/>
    <mergeCell ref="F16:H16"/>
    <mergeCell ref="A35:A36"/>
    <mergeCell ref="A16:A17"/>
    <mergeCell ref="F35:H35"/>
    <mergeCell ref="A49:A50"/>
    <mergeCell ref="F49:H49"/>
    <mergeCell ref="A58:H59"/>
    <mergeCell ref="I58:I59"/>
    <mergeCell ref="A9:I9"/>
    <mergeCell ref="A10:I10"/>
    <mergeCell ref="B15:I15"/>
    <mergeCell ref="B83:I83"/>
  </mergeCells>
  <printOptions horizontalCentered="1"/>
  <pageMargins left="0.31496062992125984" right="0.31496062992125984" top="0.61" bottom="0.31496062992125984" header="0.1968503937007874" footer="0.31496062992125984"/>
  <pageSetup fitToHeight="0" horizontalDpi="600" verticalDpi="600" orientation="landscape" paperSize="9" scale="47" r:id="rId2"/>
  <rowBreaks count="1" manualBreakCount="1">
    <brk id="2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view="pageBreakPreview" zoomScale="70" zoomScaleNormal="70"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1" sqref="D1:D16384"/>
    </sheetView>
  </sheetViews>
  <sheetFormatPr defaultColWidth="9.140625" defaultRowHeight="12.75"/>
  <cols>
    <col min="1" max="1" width="9.28125" style="36" customWidth="1"/>
    <col min="2" max="2" width="98.57421875" style="36" customWidth="1"/>
    <col min="3" max="3" width="9.8515625" style="35" bestFit="1" customWidth="1"/>
    <col min="4" max="4" width="16.7109375" style="37" customWidth="1"/>
    <col min="5" max="5" width="18.421875" style="35" customWidth="1"/>
    <col min="6" max="6" width="10.421875" style="66" customWidth="1"/>
    <col min="7" max="7" width="9.421875" style="33" customWidth="1"/>
    <col min="8" max="8" width="18.421875" style="36" bestFit="1" customWidth="1"/>
    <col min="9" max="9" width="18.421875" style="36" customWidth="1"/>
    <col min="10" max="10" width="9.421875" style="70" customWidth="1"/>
    <col min="11" max="11" width="18.421875" style="34" bestFit="1" customWidth="1"/>
    <col min="12" max="12" width="18.421875" style="34" customWidth="1"/>
    <col min="13" max="16384" width="9.140625" style="35" customWidth="1"/>
  </cols>
  <sheetData>
    <row r="1" spans="1:12" ht="19.5" customHeight="1">
      <c r="A1" s="32" t="s">
        <v>42</v>
      </c>
      <c r="B1" s="33"/>
      <c r="C1" s="33"/>
      <c r="D1" s="33"/>
      <c r="E1" s="33"/>
      <c r="F1" s="60"/>
      <c r="H1" s="33"/>
      <c r="I1" s="33"/>
      <c r="J1" s="33"/>
      <c r="K1" s="33"/>
      <c r="L1" s="33"/>
    </row>
    <row r="2" spans="1:12" ht="12.75">
      <c r="A2" s="196" t="s">
        <v>43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2" ht="12.75">
      <c r="A3" s="33" t="s">
        <v>44</v>
      </c>
      <c r="B3" s="33"/>
      <c r="C3" s="33"/>
      <c r="D3" s="33"/>
      <c r="E3" s="33"/>
      <c r="F3" s="60"/>
      <c r="H3" s="33"/>
      <c r="I3" s="33"/>
      <c r="J3" s="33"/>
      <c r="K3" s="33"/>
      <c r="L3" s="33"/>
    </row>
    <row r="4" spans="1:12" ht="12.75">
      <c r="A4" s="33"/>
      <c r="B4" s="33"/>
      <c r="C4" s="33"/>
      <c r="D4" s="33"/>
      <c r="E4" s="33"/>
      <c r="F4" s="60"/>
      <c r="H4" s="33"/>
      <c r="I4" s="33"/>
      <c r="J4" s="33"/>
      <c r="K4" s="33"/>
      <c r="L4" s="33"/>
    </row>
    <row r="5" spans="1:12" ht="18">
      <c r="A5" s="44" t="s">
        <v>16</v>
      </c>
      <c r="B5" s="44"/>
      <c r="C5" s="44"/>
      <c r="D5" s="44"/>
      <c r="E5" s="44"/>
      <c r="F5" s="61"/>
      <c r="G5" s="49"/>
      <c r="H5" s="51" t="s">
        <v>21</v>
      </c>
      <c r="I5" s="50"/>
      <c r="J5" s="49"/>
      <c r="K5" s="51" t="s">
        <v>22</v>
      </c>
      <c r="L5" s="50"/>
    </row>
    <row r="6" spans="1:12" s="27" customFormat="1" ht="22.5" customHeight="1">
      <c r="A6" s="57" t="s">
        <v>17</v>
      </c>
      <c r="B6" s="30" t="s">
        <v>29</v>
      </c>
      <c r="C6" s="52" t="s">
        <v>12</v>
      </c>
      <c r="D6" s="45" t="s">
        <v>25</v>
      </c>
      <c r="E6" s="53" t="s">
        <v>19</v>
      </c>
      <c r="F6" s="28" t="s">
        <v>11</v>
      </c>
      <c r="G6" s="38" t="s">
        <v>30</v>
      </c>
      <c r="H6" s="38" t="s">
        <v>31</v>
      </c>
      <c r="I6" s="38" t="s">
        <v>13</v>
      </c>
      <c r="J6" s="38" t="s">
        <v>30</v>
      </c>
      <c r="K6" s="38" t="s">
        <v>31</v>
      </c>
      <c r="L6" s="38" t="s">
        <v>13</v>
      </c>
    </row>
    <row r="7" spans="1:12" ht="22.5" customHeight="1">
      <c r="A7" s="58">
        <v>1</v>
      </c>
      <c r="B7" s="46" t="str">
        <f>VLOOKUP($A7,Orçamento!$B$16:$I$28,2,FALSE)</f>
        <v>SERVIÇOS PRELIMINARES e ACESSIBILIDADE</v>
      </c>
      <c r="C7" s="62"/>
      <c r="D7" s="40"/>
      <c r="E7" s="40"/>
      <c r="F7" s="62"/>
      <c r="G7" s="59"/>
      <c r="H7" s="39"/>
      <c r="I7" s="39"/>
      <c r="J7" s="69"/>
      <c r="K7" s="39"/>
      <c r="L7" s="39"/>
    </row>
    <row r="8" spans="1:12" ht="22.5" customHeight="1">
      <c r="A8" s="56" t="s">
        <v>0</v>
      </c>
      <c r="B8" s="48" t="str">
        <f>VLOOKUP($A8,Orçamento!$B$16:$I$28,2,FALSE)</f>
        <v>Implantação de placa de obra </v>
      </c>
      <c r="C8" s="62" t="str">
        <f>VLOOKUP($A8,Orçamento!$B$16:$I$28,3,FALSE)</f>
        <v>unid</v>
      </c>
      <c r="D8" s="40">
        <f>VLOOKUP($A8,Orçamento!$B$16:$I$28,4,FALSE)</f>
        <v>1</v>
      </c>
      <c r="E8" s="40">
        <f>VLOOKUP($A8,Orçamento!$B$16:$I$28,8,FALSE)</f>
        <v>1560</v>
      </c>
      <c r="F8" s="63" t="e">
        <f>ROUND(E8/$E$27,4)</f>
        <v>#N/A</v>
      </c>
      <c r="G8" s="68">
        <v>1</v>
      </c>
      <c r="H8" s="47">
        <f>ROUND($D8*G8,2)</f>
        <v>1</v>
      </c>
      <c r="I8" s="47">
        <f>ROUND($E8*G8,2)</f>
        <v>1560</v>
      </c>
      <c r="J8" s="68"/>
      <c r="K8" s="47">
        <f>ROUND($D8*J8,2)</f>
        <v>0</v>
      </c>
      <c r="L8" s="47">
        <f>ROUND($E8*J8,2)</f>
        <v>0</v>
      </c>
    </row>
    <row r="9" spans="1:12" ht="22.5" customHeight="1">
      <c r="A9" s="56" t="s">
        <v>27</v>
      </c>
      <c r="B9" s="48" t="e">
        <f>VLOOKUP($A9,Orçamento!$B$16:$I$28,2,FALSE)</f>
        <v>#N/A</v>
      </c>
      <c r="C9" s="62" t="e">
        <f>VLOOKUP($A9,Orçamento!$B$16:$I$28,3,FALSE)</f>
        <v>#N/A</v>
      </c>
      <c r="D9" s="40" t="e">
        <f>VLOOKUP($A9,Orçamento!$B$16:$I$28,4,FALSE)</f>
        <v>#N/A</v>
      </c>
      <c r="E9" s="40" t="e">
        <f>VLOOKUP($A9,Orçamento!$B$16:$I$28,8,FALSE)</f>
        <v>#N/A</v>
      </c>
      <c r="F9" s="63" t="e">
        <f>ROUND(E9/$E$27,4)</f>
        <v>#N/A</v>
      </c>
      <c r="G9" s="68"/>
      <c r="H9" s="47" t="e">
        <f>ROUND($D9*G9,2)</f>
        <v>#N/A</v>
      </c>
      <c r="I9" s="47" t="e">
        <f>ROUND($E9*G9,2)</f>
        <v>#N/A</v>
      </c>
      <c r="J9" s="68">
        <v>1</v>
      </c>
      <c r="K9" s="47" t="e">
        <f>ROUND($D9*J9,2)</f>
        <v>#N/A</v>
      </c>
      <c r="L9" s="47" t="e">
        <f>ROUND($E9*J9,2)</f>
        <v>#N/A</v>
      </c>
    </row>
    <row r="10" spans="1:12" ht="22.5" customHeight="1">
      <c r="A10" s="56" t="s">
        <v>50</v>
      </c>
      <c r="B10" s="48" t="str">
        <f>VLOOKUP($A10,Orçamento!$B$16:$I$28,2,FALSE)</f>
        <v>Controle Tecnológico </v>
      </c>
      <c r="C10" s="62" t="str">
        <f>VLOOKUP($A10,Orçamento!$B$16:$I$28,3,FALSE)</f>
        <v>unid</v>
      </c>
      <c r="D10" s="40">
        <f>VLOOKUP($A10,Orçamento!$B$16:$I$28,4,FALSE)</f>
        <v>1</v>
      </c>
      <c r="E10" s="40">
        <f>VLOOKUP($A10,Orçamento!$B$16:$I$28,8,FALSE)</f>
        <v>1191.82</v>
      </c>
      <c r="F10" s="63" t="e">
        <f>ROUND(E10/$E$27,4)</f>
        <v>#N/A</v>
      </c>
      <c r="G10" s="68">
        <v>1</v>
      </c>
      <c r="H10" s="47">
        <f>ROUND($D10*G10,2)</f>
        <v>1</v>
      </c>
      <c r="I10" s="47">
        <f>ROUND($E10*G10,2)</f>
        <v>1191.82</v>
      </c>
      <c r="J10" s="68"/>
      <c r="K10" s="47">
        <f>ROUND($D10*J10,2)</f>
        <v>0</v>
      </c>
      <c r="L10" s="47">
        <f>ROUND($E10*J10,2)</f>
        <v>0</v>
      </c>
    </row>
    <row r="11" spans="1:12" ht="22.5" customHeight="1">
      <c r="A11" s="55" t="s">
        <v>45</v>
      </c>
      <c r="B11" s="48"/>
      <c r="C11" s="87" t="s">
        <v>33</v>
      </c>
      <c r="D11" s="40"/>
      <c r="E11" s="59" t="e">
        <f>SUM(E8:E10)</f>
        <v>#N/A</v>
      </c>
      <c r="F11" s="43" t="e">
        <f>ROUND(SUM(F8:F10),4)</f>
        <v>#N/A</v>
      </c>
      <c r="G11" s="68"/>
      <c r="H11" s="47"/>
      <c r="I11" s="67" t="e">
        <f>SUM(I8:I10)</f>
        <v>#N/A</v>
      </c>
      <c r="J11" s="68"/>
      <c r="K11" s="47"/>
      <c r="L11" s="67" t="e">
        <f>SUM(L8:L10)</f>
        <v>#N/A</v>
      </c>
    </row>
    <row r="12" spans="1:12" ht="22.5" customHeight="1">
      <c r="A12" s="58">
        <v>2</v>
      </c>
      <c r="B12" s="46" t="str">
        <f>VLOOKUP($A12,Orçamento!$B$16:$I$28,2,FALSE)</f>
        <v>PAVIMENTAÇÃO</v>
      </c>
      <c r="C12" s="62"/>
      <c r="D12" s="40"/>
      <c r="E12" s="40"/>
      <c r="F12" s="62"/>
      <c r="G12" s="68"/>
      <c r="H12" s="47"/>
      <c r="I12" s="47"/>
      <c r="J12" s="68"/>
      <c r="K12" s="47"/>
      <c r="L12" s="47"/>
    </row>
    <row r="13" spans="1:12" ht="22.5" customHeight="1">
      <c r="A13" s="56" t="s">
        <v>2</v>
      </c>
      <c r="B13" s="48" t="str">
        <f>VLOOKUP($A13,Orçamento!$B$16:$I$28,2,FALSE)</f>
        <v>Limpeza, varrição e lavagem de pista</v>
      </c>
      <c r="C13" s="62" t="str">
        <f>VLOOKUP($A13,Orçamento!$B$16:$I$28,3,FALSE)</f>
        <v>m²</v>
      </c>
      <c r="D13" s="40">
        <f>VLOOKUP($A13,Orçamento!$B$16:$I$28,4,FALSE)</f>
        <v>4030</v>
      </c>
      <c r="E13" s="40">
        <f>VLOOKUP($A13,Orçamento!$B$16:$I$28,8,FALSE)</f>
        <v>4030</v>
      </c>
      <c r="F13" s="63" t="e">
        <f>ROUND(E13/$E$27,4)</f>
        <v>#N/A</v>
      </c>
      <c r="G13" s="68">
        <v>1</v>
      </c>
      <c r="H13" s="47">
        <f aca="true" t="shared" si="0" ref="H13:H24">ROUND($D13*G13,2)</f>
        <v>4030</v>
      </c>
      <c r="I13" s="47">
        <f aca="true" t="shared" si="1" ref="I13:I24">ROUND($E13*G13,2)</f>
        <v>4030</v>
      </c>
      <c r="J13" s="68"/>
      <c r="K13" s="47">
        <f aca="true" t="shared" si="2" ref="K13:K24">ROUND($D13*J13,2)</f>
        <v>0</v>
      </c>
      <c r="L13" s="47">
        <f aca="true" t="shared" si="3" ref="L13:L24">ROUND($E13*J13,2)</f>
        <v>0</v>
      </c>
    </row>
    <row r="14" spans="1:12" ht="22.5" customHeight="1">
      <c r="A14" s="56" t="s">
        <v>3</v>
      </c>
      <c r="B14" s="48" t="str">
        <f>VLOOKUP($A14,Orçamento!$B$16:$I$28,2,FALSE)</f>
        <v>Reperfilagem e Correção da Pista</v>
      </c>
      <c r="C14" s="62" t="str">
        <f>VLOOKUP($A14,Orçamento!$B$16:$I$28,3,FALSE)</f>
        <v>m²</v>
      </c>
      <c r="D14" s="40">
        <f>VLOOKUP($A14,Orçamento!$B$16:$I$28,4,FALSE)</f>
        <v>4030</v>
      </c>
      <c r="E14" s="40">
        <f>VLOOKUP($A14,Orçamento!$B$16:$I$28,8,FALSE)</f>
        <v>7254</v>
      </c>
      <c r="F14" s="63" t="e">
        <f>ROUND(E14/$E$27,4)</f>
        <v>#N/A</v>
      </c>
      <c r="G14" s="68">
        <v>1</v>
      </c>
      <c r="H14" s="47">
        <f t="shared" si="0"/>
        <v>4030</v>
      </c>
      <c r="I14" s="47">
        <f t="shared" si="1"/>
        <v>7254</v>
      </c>
      <c r="J14" s="68"/>
      <c r="K14" s="47">
        <f t="shared" si="2"/>
        <v>0</v>
      </c>
      <c r="L14" s="47">
        <f t="shared" si="3"/>
        <v>0</v>
      </c>
    </row>
    <row r="15" spans="1:12" ht="22.5" customHeight="1">
      <c r="A15" s="56" t="s">
        <v>4</v>
      </c>
      <c r="B15" s="48" t="str">
        <f>VLOOKUP($A15,Orçamento!$B$16:$I$28,2,FALSE)</f>
        <v>Camada de Regularização: Fabricação e Aplicação de Concreto Betuminoso Usinado a Quente (CBUQ), CAP 50/70, (Esp.: 3,0cm), inclusive transporte</v>
      </c>
      <c r="C15" s="62" t="str">
        <f>VLOOKUP($A15,Orçamento!$B$16:$I$28,3,FALSE)</f>
        <v>ton</v>
      </c>
      <c r="D15" s="40">
        <f>VLOOKUP($A15,Orçamento!$B$16:$I$28,4,FALSE)</f>
        <v>292.56608</v>
      </c>
      <c r="E15" s="40">
        <f>VLOOKUP($A15,Orçamento!$B$16:$I$28,8,FALSE)</f>
        <v>76067.18</v>
      </c>
      <c r="F15" s="63" t="e">
        <f>ROUND(E15/$E$27,4)</f>
        <v>#N/A</v>
      </c>
      <c r="G15" s="68">
        <v>1</v>
      </c>
      <c r="H15" s="47">
        <f t="shared" si="0"/>
        <v>292.57</v>
      </c>
      <c r="I15" s="47">
        <f t="shared" si="1"/>
        <v>76067.18</v>
      </c>
      <c r="J15" s="68"/>
      <c r="K15" s="47">
        <f t="shared" si="2"/>
        <v>0</v>
      </c>
      <c r="L15" s="47">
        <f t="shared" si="3"/>
        <v>0</v>
      </c>
    </row>
    <row r="16" spans="1:12" ht="22.5" customHeight="1">
      <c r="A16" s="56" t="s">
        <v>5</v>
      </c>
      <c r="B16" s="48" t="e">
        <f>VLOOKUP($A16,Orçamento!$B$16:$I$28,2,FALSE)</f>
        <v>#N/A</v>
      </c>
      <c r="C16" s="62" t="e">
        <f>VLOOKUP($A16,Orçamento!$B$16:$I$28,3,FALSE)</f>
        <v>#N/A</v>
      </c>
      <c r="D16" s="40" t="e">
        <f>VLOOKUP($A16,Orçamento!$B$16:$I$28,4,FALSE)</f>
        <v>#N/A</v>
      </c>
      <c r="E16" s="40" t="e">
        <f>VLOOKUP($A16,Orçamento!$B$16:$I$28,8,FALSE)</f>
        <v>#N/A</v>
      </c>
      <c r="F16" s="63" t="e">
        <f>ROUND(E16/$E$27,4)</f>
        <v>#N/A</v>
      </c>
      <c r="G16" s="68"/>
      <c r="H16" s="47" t="e">
        <f t="shared" si="0"/>
        <v>#N/A</v>
      </c>
      <c r="I16" s="47" t="e">
        <f t="shared" si="1"/>
        <v>#N/A</v>
      </c>
      <c r="J16" s="68">
        <v>1</v>
      </c>
      <c r="K16" s="47" t="e">
        <f t="shared" si="2"/>
        <v>#N/A</v>
      </c>
      <c r="L16" s="47" t="e">
        <f t="shared" si="3"/>
        <v>#N/A</v>
      </c>
    </row>
    <row r="17" spans="1:12" ht="22.5" customHeight="1">
      <c r="A17" s="56" t="s">
        <v>47</v>
      </c>
      <c r="B17" s="48" t="e">
        <f>VLOOKUP($A17,Orçamento!$B$16:$I$28,2,FALSE)</f>
        <v>#N/A</v>
      </c>
      <c r="C17" s="62" t="e">
        <f>VLOOKUP($A17,Orçamento!$B$16:$I$28,3,FALSE)</f>
        <v>#N/A</v>
      </c>
      <c r="D17" s="40" t="e">
        <f>VLOOKUP($A17,Orçamento!$B$16:$I$28,4,FALSE)</f>
        <v>#N/A</v>
      </c>
      <c r="E17" s="40" t="e">
        <f>VLOOKUP($A17,Orçamento!$B$16:$I$28,8,FALSE)</f>
        <v>#N/A</v>
      </c>
      <c r="F17" s="63" t="e">
        <f>ROUND(E17/$E$27,4)</f>
        <v>#N/A</v>
      </c>
      <c r="G17" s="68"/>
      <c r="H17" s="47" t="e">
        <f>ROUND($D17*G17,2)</f>
        <v>#N/A</v>
      </c>
      <c r="I17" s="47" t="e">
        <f>ROUND($E17*G17,2)</f>
        <v>#N/A</v>
      </c>
      <c r="J17" s="68">
        <v>1</v>
      </c>
      <c r="K17" s="47" t="e">
        <f>ROUND($D17*J17,2)</f>
        <v>#N/A</v>
      </c>
      <c r="L17" s="47" t="e">
        <f>ROUND($E17*J17,2)</f>
        <v>#N/A</v>
      </c>
    </row>
    <row r="18" spans="1:12" ht="22.5" customHeight="1">
      <c r="A18" s="54" t="s">
        <v>46</v>
      </c>
      <c r="B18" s="46"/>
      <c r="C18" s="87" t="s">
        <v>33</v>
      </c>
      <c r="D18" s="40"/>
      <c r="E18" s="59" t="e">
        <f>SUM(E13:E17)</f>
        <v>#N/A</v>
      </c>
      <c r="F18" s="43" t="e">
        <f>ROUND(SUM(F13:F17),4)</f>
        <v>#N/A</v>
      </c>
      <c r="G18" s="68"/>
      <c r="H18" s="47"/>
      <c r="I18" s="59" t="e">
        <f>SUM(I13:I17)</f>
        <v>#N/A</v>
      </c>
      <c r="J18" s="68"/>
      <c r="K18" s="47"/>
      <c r="L18" s="59" t="e">
        <f>SUM(L13:L17)</f>
        <v>#N/A</v>
      </c>
    </row>
    <row r="19" spans="1:12" ht="22.5" customHeight="1">
      <c r="A19" s="58">
        <v>3</v>
      </c>
      <c r="B19" s="46" t="e">
        <f>VLOOKUP($A19,Orçamento!$B$16:$I$28,2,FALSE)</f>
        <v>#N/A</v>
      </c>
      <c r="C19" s="62"/>
      <c r="D19" s="40"/>
      <c r="E19" s="40"/>
      <c r="F19" s="62"/>
      <c r="G19" s="68"/>
      <c r="H19" s="47"/>
      <c r="I19" s="47"/>
      <c r="J19" s="68"/>
      <c r="K19" s="47"/>
      <c r="L19" s="47"/>
    </row>
    <row r="20" spans="1:12" ht="22.5" customHeight="1">
      <c r="A20" s="56" t="s">
        <v>6</v>
      </c>
      <c r="B20" s="48" t="e">
        <f>VLOOKUP($A20,Orçamento!$B$16:$I$28,2,FALSE)</f>
        <v>#N/A</v>
      </c>
      <c r="C20" s="62" t="e">
        <f>VLOOKUP($A20,Orçamento!$B$16:$I$28,3,FALSE)</f>
        <v>#N/A</v>
      </c>
      <c r="D20" s="40" t="e">
        <f>VLOOKUP($A20,Orçamento!$B$16:$I$28,4,FALSE)</f>
        <v>#N/A</v>
      </c>
      <c r="E20" s="40" t="e">
        <f>VLOOKUP($A20,Orçamento!$B$16:$I$28,8,FALSE)</f>
        <v>#N/A</v>
      </c>
      <c r="F20" s="63" t="e">
        <f aca="true" t="shared" si="4" ref="F20:F25">ROUND(E20/$E$27,4)</f>
        <v>#N/A</v>
      </c>
      <c r="G20" s="68"/>
      <c r="H20" s="47" t="e">
        <f t="shared" si="0"/>
        <v>#N/A</v>
      </c>
      <c r="I20" s="47" t="e">
        <f t="shared" si="1"/>
        <v>#N/A</v>
      </c>
      <c r="J20" s="68">
        <v>1</v>
      </c>
      <c r="K20" s="47" t="e">
        <f t="shared" si="2"/>
        <v>#N/A</v>
      </c>
      <c r="L20" s="47" t="e">
        <f t="shared" si="3"/>
        <v>#N/A</v>
      </c>
    </row>
    <row r="21" spans="1:12" ht="22.5" customHeight="1">
      <c r="A21" s="56" t="s">
        <v>7</v>
      </c>
      <c r="B21" s="48" t="e">
        <f>VLOOKUP($A21,Orçamento!$B$16:$I$28,2,FALSE)</f>
        <v>#N/A</v>
      </c>
      <c r="C21" s="62" t="e">
        <f>VLOOKUP($A21,Orçamento!$B$16:$I$28,3,FALSE)</f>
        <v>#N/A</v>
      </c>
      <c r="D21" s="40" t="e">
        <f>VLOOKUP($A21,Orçamento!$B$16:$I$28,4,FALSE)</f>
        <v>#N/A</v>
      </c>
      <c r="E21" s="40" t="e">
        <f>VLOOKUP($A21,Orçamento!$B$16:$I$28,8,FALSE)</f>
        <v>#N/A</v>
      </c>
      <c r="F21" s="63" t="e">
        <f t="shared" si="4"/>
        <v>#N/A</v>
      </c>
      <c r="G21" s="68"/>
      <c r="H21" s="47" t="e">
        <f t="shared" si="0"/>
        <v>#N/A</v>
      </c>
      <c r="I21" s="47" t="e">
        <f t="shared" si="1"/>
        <v>#N/A</v>
      </c>
      <c r="J21" s="68">
        <v>1</v>
      </c>
      <c r="K21" s="47" t="e">
        <f t="shared" si="2"/>
        <v>#N/A</v>
      </c>
      <c r="L21" s="47" t="e">
        <f t="shared" si="3"/>
        <v>#N/A</v>
      </c>
    </row>
    <row r="22" spans="1:12" ht="22.5" customHeight="1">
      <c r="A22" s="56" t="s">
        <v>8</v>
      </c>
      <c r="B22" s="48" t="e">
        <f>VLOOKUP($A22,Orçamento!$B$16:$I$28,2,FALSE)</f>
        <v>#N/A</v>
      </c>
      <c r="C22" s="62" t="e">
        <f>VLOOKUP($A22,Orçamento!$B$16:$I$28,3,FALSE)</f>
        <v>#N/A</v>
      </c>
      <c r="D22" s="40" t="e">
        <f>VLOOKUP($A22,Orçamento!$B$16:$I$28,4,FALSE)</f>
        <v>#N/A</v>
      </c>
      <c r="E22" s="40" t="e">
        <f>VLOOKUP($A22,Orçamento!$B$16:$I$28,8,FALSE)</f>
        <v>#N/A</v>
      </c>
      <c r="F22" s="63" t="e">
        <f t="shared" si="4"/>
        <v>#N/A</v>
      </c>
      <c r="G22" s="68"/>
      <c r="H22" s="47" t="e">
        <f t="shared" si="0"/>
        <v>#N/A</v>
      </c>
      <c r="I22" s="47" t="e">
        <f t="shared" si="1"/>
        <v>#N/A</v>
      </c>
      <c r="J22" s="68">
        <v>1</v>
      </c>
      <c r="K22" s="47" t="e">
        <f t="shared" si="2"/>
        <v>#N/A</v>
      </c>
      <c r="L22" s="47" t="e">
        <f t="shared" si="3"/>
        <v>#N/A</v>
      </c>
    </row>
    <row r="23" spans="1:12" ht="22.5" customHeight="1">
      <c r="A23" s="56" t="s">
        <v>9</v>
      </c>
      <c r="B23" s="48" t="e">
        <f>VLOOKUP($A23,Orçamento!$B$16:$I$28,2,FALSE)</f>
        <v>#N/A</v>
      </c>
      <c r="C23" s="62" t="e">
        <f>VLOOKUP($A23,Orçamento!$B$16:$I$28,3,FALSE)</f>
        <v>#N/A</v>
      </c>
      <c r="D23" s="40" t="e">
        <f>VLOOKUP($A23,Orçamento!$B$16:$I$28,4,FALSE)</f>
        <v>#N/A</v>
      </c>
      <c r="E23" s="40" t="e">
        <f>VLOOKUP($A23,Orçamento!$B$16:$I$28,8,FALSE)</f>
        <v>#N/A</v>
      </c>
      <c r="F23" s="63" t="e">
        <f t="shared" si="4"/>
        <v>#N/A</v>
      </c>
      <c r="G23" s="68"/>
      <c r="H23" s="47" t="e">
        <f t="shared" si="0"/>
        <v>#N/A</v>
      </c>
      <c r="I23" s="47" t="e">
        <f t="shared" si="1"/>
        <v>#N/A</v>
      </c>
      <c r="J23" s="68">
        <v>1</v>
      </c>
      <c r="K23" s="47" t="e">
        <f t="shared" si="2"/>
        <v>#N/A</v>
      </c>
      <c r="L23" s="47" t="e">
        <f t="shared" si="3"/>
        <v>#N/A</v>
      </c>
    </row>
    <row r="24" spans="1:12" ht="22.5" customHeight="1">
      <c r="A24" s="56" t="s">
        <v>10</v>
      </c>
      <c r="B24" s="48" t="e">
        <f>VLOOKUP($A24,Orçamento!$B$16:$I$28,2,FALSE)</f>
        <v>#N/A</v>
      </c>
      <c r="C24" s="62" t="e">
        <f>VLOOKUP($A24,Orçamento!$B$16:$I$28,3,FALSE)</f>
        <v>#N/A</v>
      </c>
      <c r="D24" s="40" t="e">
        <f>VLOOKUP($A24,Orçamento!$B$16:$I$28,4,FALSE)</f>
        <v>#N/A</v>
      </c>
      <c r="E24" s="40" t="e">
        <f>VLOOKUP($A24,Orçamento!$B$16:$I$28,8,FALSE)</f>
        <v>#N/A</v>
      </c>
      <c r="F24" s="63" t="e">
        <f t="shared" si="4"/>
        <v>#N/A</v>
      </c>
      <c r="G24" s="68"/>
      <c r="H24" s="47" t="e">
        <f t="shared" si="0"/>
        <v>#N/A</v>
      </c>
      <c r="I24" s="47" t="e">
        <f t="shared" si="1"/>
        <v>#N/A</v>
      </c>
      <c r="J24" s="68">
        <v>1</v>
      </c>
      <c r="K24" s="47" t="e">
        <f t="shared" si="2"/>
        <v>#N/A</v>
      </c>
      <c r="L24" s="47" t="e">
        <f t="shared" si="3"/>
        <v>#N/A</v>
      </c>
    </row>
    <row r="25" spans="1:12" ht="22.5" customHeight="1">
      <c r="A25" s="56" t="s">
        <v>48</v>
      </c>
      <c r="B25" s="48" t="e">
        <f>VLOOKUP($A25,Orçamento!$B$16:$I$28,2,FALSE)</f>
        <v>#N/A</v>
      </c>
      <c r="C25" s="62" t="e">
        <f>VLOOKUP($A25,Orçamento!$B$16:$I$28,3,FALSE)</f>
        <v>#N/A</v>
      </c>
      <c r="D25" s="40" t="e">
        <f>VLOOKUP($A25,Orçamento!$B$16:$I$28,4,FALSE)</f>
        <v>#N/A</v>
      </c>
      <c r="E25" s="40" t="e">
        <f>VLOOKUP($A25,Orçamento!$B$16:$I$28,8,FALSE)</f>
        <v>#N/A</v>
      </c>
      <c r="F25" s="63" t="e">
        <f t="shared" si="4"/>
        <v>#N/A</v>
      </c>
      <c r="G25" s="68"/>
      <c r="H25" s="47" t="e">
        <f>ROUND($D25*G25,2)</f>
        <v>#N/A</v>
      </c>
      <c r="I25" s="47" t="e">
        <f>ROUND($E25*G25,2)</f>
        <v>#N/A</v>
      </c>
      <c r="J25" s="68">
        <v>1</v>
      </c>
      <c r="K25" s="47" t="e">
        <f>ROUND($D25*J25,2)</f>
        <v>#N/A</v>
      </c>
      <c r="L25" s="47" t="e">
        <f>ROUND($E25*J25,2)</f>
        <v>#N/A</v>
      </c>
    </row>
    <row r="26" spans="1:12" s="42" customFormat="1" ht="22.5" customHeight="1">
      <c r="A26" s="54" t="s">
        <v>52</v>
      </c>
      <c r="B26" s="48"/>
      <c r="C26" s="87" t="s">
        <v>33</v>
      </c>
      <c r="D26" s="40"/>
      <c r="E26" s="59" t="e">
        <f>SUM(E20:E25)</f>
        <v>#N/A</v>
      </c>
      <c r="F26" s="43" t="e">
        <f>ROUND(SUM(F20:F25),4)</f>
        <v>#N/A</v>
      </c>
      <c r="G26" s="68"/>
      <c r="H26" s="47"/>
      <c r="I26" s="59" t="e">
        <f>SUM(I20:I25)</f>
        <v>#N/A</v>
      </c>
      <c r="J26" s="68"/>
      <c r="K26" s="47"/>
      <c r="L26" s="59" t="e">
        <f>SUM(L20:L25)</f>
        <v>#N/A</v>
      </c>
    </row>
    <row r="27" spans="1:12" ht="22.5" customHeight="1">
      <c r="A27" s="71" t="s">
        <v>34</v>
      </c>
      <c r="B27" s="72"/>
      <c r="C27" s="72"/>
      <c r="D27" s="72"/>
      <c r="E27" s="73" t="e">
        <f>SUMIF($C$6:$C$26,"SUBTOTAL",E6:E26)</f>
        <v>#N/A</v>
      </c>
      <c r="F27" s="65" t="e">
        <f>ROUND(F26+F18+F11,2)</f>
        <v>#N/A</v>
      </c>
      <c r="G27" s="76"/>
      <c r="H27" s="74"/>
      <c r="I27" s="75"/>
      <c r="J27" s="76"/>
      <c r="K27" s="74"/>
      <c r="L27" s="75"/>
    </row>
    <row r="28" spans="1:12" ht="22.5" customHeight="1">
      <c r="A28" s="71" t="s">
        <v>32</v>
      </c>
      <c r="B28" s="72"/>
      <c r="C28" s="72"/>
      <c r="D28" s="72"/>
      <c r="E28" s="73"/>
      <c r="F28" s="65"/>
      <c r="G28" s="76" t="e">
        <f>I28/$E$27</f>
        <v>#N/A</v>
      </c>
      <c r="H28" s="74"/>
      <c r="I28" s="75" t="e">
        <f>I26+I18+I11</f>
        <v>#N/A</v>
      </c>
      <c r="J28" s="76" t="e">
        <f>L28/$E$27</f>
        <v>#N/A</v>
      </c>
      <c r="K28" s="74"/>
      <c r="L28" s="75" t="e">
        <f>L26+L18+L11</f>
        <v>#N/A</v>
      </c>
    </row>
    <row r="29" spans="1:12" ht="23.25" customHeight="1">
      <c r="A29" s="195" t="s">
        <v>20</v>
      </c>
      <c r="B29" s="195"/>
      <c r="C29" s="195"/>
      <c r="D29" s="195"/>
      <c r="E29" s="195"/>
      <c r="F29" s="64"/>
      <c r="G29" s="76" t="e">
        <f>G28</f>
        <v>#N/A</v>
      </c>
      <c r="H29" s="41"/>
      <c r="I29" s="41" t="e">
        <f>I28</f>
        <v>#N/A</v>
      </c>
      <c r="J29" s="77" t="e">
        <f>J28+G29</f>
        <v>#N/A</v>
      </c>
      <c r="K29" s="41"/>
      <c r="L29" s="41" t="e">
        <f>I29+L28</f>
        <v>#N/A</v>
      </c>
    </row>
    <row r="31" ht="12.75">
      <c r="E31" s="123">
        <f>Orçamento!I28</f>
        <v>96148</v>
      </c>
    </row>
    <row r="161" ht="9.75" customHeight="1"/>
    <row r="162" ht="9.75" customHeight="1"/>
    <row r="163" ht="9.75" customHeight="1"/>
  </sheetData>
  <sheetProtection/>
  <mergeCells count="2">
    <mergeCell ref="A29:E29"/>
    <mergeCell ref="A2:L2"/>
  </mergeCells>
  <conditionalFormatting sqref="C6">
    <cfRule type="cellIs" priority="3" dxfId="0" operator="lessThan" stopIfTrue="1">
      <formula>0</formula>
    </cfRule>
  </conditionalFormatting>
  <printOptions horizontalCentered="1"/>
  <pageMargins left="0.26" right="0.26" top="0.9" bottom="0.3937007874015748" header="0.3937007874015748" footer="0.31496062992125984"/>
  <pageSetup fitToHeight="0" fitToWidth="1" horizontalDpi="600" verticalDpi="600" orientation="landscape" paperSize="9" scale="56" r:id="rId2"/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85" zoomScaleNormal="70" zoomScaleSheetLayoutView="85" zoomScalePageLayoutView="0" workbookViewId="0" topLeftCell="A1">
      <selection activeCell="B21" sqref="B21"/>
    </sheetView>
  </sheetViews>
  <sheetFormatPr defaultColWidth="9.140625" defaultRowHeight="12.75"/>
  <cols>
    <col min="2" max="2" width="51.140625" style="0" customWidth="1"/>
    <col min="3" max="4" width="14.28125" style="0" customWidth="1"/>
  </cols>
  <sheetData>
    <row r="1" spans="1:2" ht="15.75">
      <c r="A1" s="136">
        <f>Orçamento!A1</f>
        <v>0</v>
      </c>
      <c r="B1" s="130"/>
    </row>
    <row r="2" spans="1:2" ht="15.75">
      <c r="A2" s="136"/>
      <c r="B2" s="130"/>
    </row>
    <row r="3" spans="1:2" ht="15.75">
      <c r="A3" s="136">
        <f>Orçamento!A3</f>
        <v>0</v>
      </c>
      <c r="B3" s="130"/>
    </row>
    <row r="4" spans="1:2" ht="15.75">
      <c r="A4" s="136"/>
      <c r="B4" s="130"/>
    </row>
    <row r="5" spans="1:2" ht="15.75">
      <c r="A5" s="136" t="str">
        <f>Orçamento!A12</f>
        <v>LOCAL: RUA JOSÉ ANTONIO LÁPIDO</v>
      </c>
      <c r="B5" s="130"/>
    </row>
    <row r="6" spans="1:2" ht="15.75">
      <c r="A6" s="136" t="str">
        <f>Orçamento!A14</f>
        <v>ÁREA DO TRECHO: 4.030,00 m²</v>
      </c>
      <c r="B6" s="130"/>
    </row>
    <row r="7" ht="12.75">
      <c r="A7" s="124"/>
    </row>
    <row r="8" spans="1:10" ht="21" customHeight="1">
      <c r="A8" s="197" t="s">
        <v>53</v>
      </c>
      <c r="B8" s="198"/>
      <c r="C8" s="198"/>
      <c r="D8" s="198"/>
      <c r="E8" s="199"/>
      <c r="F8" s="126"/>
      <c r="G8" s="126"/>
      <c r="H8" s="126"/>
      <c r="I8" s="126"/>
      <c r="J8" s="127"/>
    </row>
    <row r="9" spans="1:10" ht="5.25" customHeight="1">
      <c r="A9" s="137"/>
      <c r="B9" s="138"/>
      <c r="C9" s="138"/>
      <c r="D9" s="138"/>
      <c r="E9" s="139"/>
      <c r="F9" s="125"/>
      <c r="G9" s="125"/>
      <c r="H9" s="125"/>
      <c r="I9" s="125"/>
      <c r="J9" s="125"/>
    </row>
    <row r="10" spans="1:10" ht="16.5">
      <c r="A10" s="200" t="s">
        <v>54</v>
      </c>
      <c r="B10" s="201"/>
      <c r="C10" s="201"/>
      <c r="D10" s="201"/>
      <c r="E10" s="202"/>
      <c r="F10" s="128"/>
      <c r="G10" s="128"/>
      <c r="H10" s="128"/>
      <c r="I10" s="128"/>
      <c r="J10" s="129"/>
    </row>
    <row r="11" spans="1:5" ht="6" customHeight="1">
      <c r="A11" s="140"/>
      <c r="B11" s="141"/>
      <c r="C11" s="141"/>
      <c r="D11" s="141"/>
      <c r="E11" s="142"/>
    </row>
    <row r="12" spans="1:10" ht="16.5">
      <c r="A12" s="200" t="s">
        <v>55</v>
      </c>
      <c r="B12" s="201"/>
      <c r="C12" s="201"/>
      <c r="D12" s="201"/>
      <c r="E12" s="202"/>
      <c r="F12" s="128"/>
      <c r="G12" s="128"/>
      <c r="H12" s="128"/>
      <c r="I12" s="128"/>
      <c r="J12" s="129"/>
    </row>
    <row r="13" spans="1:5" ht="16.5">
      <c r="A13" s="140"/>
      <c r="B13" s="141"/>
      <c r="C13" s="141"/>
      <c r="D13" s="141"/>
      <c r="E13" s="142"/>
    </row>
    <row r="14" spans="1:5" ht="16.5">
      <c r="A14" s="143" t="s">
        <v>56</v>
      </c>
      <c r="B14" s="144" t="str">
        <f>Orçamento!C20</f>
        <v>Controle Tecnológico </v>
      </c>
      <c r="C14" s="145"/>
      <c r="D14" s="145"/>
      <c r="E14" s="146"/>
    </row>
    <row r="15" spans="1:5" ht="16.5">
      <c r="A15" s="140"/>
      <c r="B15" s="141"/>
      <c r="C15" s="141"/>
      <c r="D15" s="141"/>
      <c r="E15" s="142"/>
    </row>
    <row r="16" spans="1:5" ht="16.5">
      <c r="A16" s="157"/>
      <c r="B16" s="134" t="s">
        <v>61</v>
      </c>
      <c r="C16" s="134" t="s">
        <v>62</v>
      </c>
      <c r="D16" s="134" t="s">
        <v>63</v>
      </c>
      <c r="E16" s="142"/>
    </row>
    <row r="17" spans="1:5" ht="6" customHeight="1">
      <c r="A17" s="140"/>
      <c r="B17" s="134"/>
      <c r="C17" s="134"/>
      <c r="D17" s="134"/>
      <c r="E17" s="142"/>
    </row>
    <row r="18" spans="1:5" ht="16.5">
      <c r="A18" s="156"/>
      <c r="B18" s="141" t="s">
        <v>57</v>
      </c>
      <c r="C18" s="147" t="s">
        <v>64</v>
      </c>
      <c r="D18" s="148">
        <v>602.06</v>
      </c>
      <c r="E18" s="142"/>
    </row>
    <row r="19" spans="1:5" ht="16.5">
      <c r="A19" s="156"/>
      <c r="B19" s="141" t="s">
        <v>58</v>
      </c>
      <c r="C19" s="147" t="s">
        <v>64</v>
      </c>
      <c r="D19" s="148">
        <v>253.47</v>
      </c>
      <c r="E19" s="142"/>
    </row>
    <row r="20" spans="1:5" ht="16.5">
      <c r="A20" s="156"/>
      <c r="B20" s="141" t="s">
        <v>59</v>
      </c>
      <c r="C20" s="147" t="s">
        <v>64</v>
      </c>
      <c r="D20" s="148">
        <v>129.67</v>
      </c>
      <c r="E20" s="142"/>
    </row>
    <row r="21" spans="1:5" ht="16.5">
      <c r="A21" s="156"/>
      <c r="B21" s="141" t="s">
        <v>60</v>
      </c>
      <c r="C21" s="147" t="s">
        <v>64</v>
      </c>
      <c r="D21" s="148">
        <v>154.43</v>
      </c>
      <c r="E21" s="142"/>
    </row>
    <row r="22" spans="1:5" ht="16.5">
      <c r="A22" s="140"/>
      <c r="B22" s="141"/>
      <c r="C22" s="141"/>
      <c r="D22" s="141"/>
      <c r="E22" s="142"/>
    </row>
    <row r="23" spans="1:5" ht="16.5">
      <c r="A23" s="140"/>
      <c r="B23" s="141"/>
      <c r="C23" s="134" t="s">
        <v>65</v>
      </c>
      <c r="D23" s="135">
        <f>SUM(D18:D22)</f>
        <v>1139.6299999999999</v>
      </c>
      <c r="E23" s="142"/>
    </row>
    <row r="24" spans="1:5" ht="14.25">
      <c r="A24" s="149"/>
      <c r="B24" s="150"/>
      <c r="C24" s="150"/>
      <c r="D24" s="150"/>
      <c r="E24" s="151"/>
    </row>
    <row r="25" spans="1:5" ht="16.5">
      <c r="A25" s="149"/>
      <c r="B25" s="152" t="s">
        <v>67</v>
      </c>
      <c r="C25" s="150"/>
      <c r="D25" s="150"/>
      <c r="E25" s="151"/>
    </row>
    <row r="26" spans="1:5" ht="14.25">
      <c r="A26" s="149"/>
      <c r="B26" s="150"/>
      <c r="C26" s="150"/>
      <c r="D26" s="150"/>
      <c r="E26" s="151"/>
    </row>
    <row r="27" spans="1:5" ht="16.5">
      <c r="A27" s="149"/>
      <c r="B27" s="153" t="s">
        <v>68</v>
      </c>
      <c r="C27" s="150"/>
      <c r="D27" s="150"/>
      <c r="E27" s="151"/>
    </row>
    <row r="28" spans="1:5" ht="16.5">
      <c r="A28" s="149"/>
      <c r="B28" s="153" t="s">
        <v>69</v>
      </c>
      <c r="C28" s="150"/>
      <c r="D28" s="150"/>
      <c r="E28" s="151"/>
    </row>
    <row r="29" spans="1:5" ht="14.25">
      <c r="A29" s="149"/>
      <c r="B29" s="150"/>
      <c r="C29" s="150"/>
      <c r="D29" s="150"/>
      <c r="E29" s="151"/>
    </row>
    <row r="30" spans="1:5" ht="16.5">
      <c r="A30" s="149"/>
      <c r="B30" s="152" t="s">
        <v>66</v>
      </c>
      <c r="C30" s="150"/>
      <c r="D30" s="150"/>
      <c r="E30" s="151"/>
    </row>
    <row r="31" spans="1:5" ht="14.25">
      <c r="A31" s="149"/>
      <c r="B31" s="150"/>
      <c r="C31" s="150"/>
      <c r="D31" s="150"/>
      <c r="E31" s="151"/>
    </row>
    <row r="32" spans="1:5" ht="30.75" customHeight="1">
      <c r="A32" s="149"/>
      <c r="B32" s="203" t="s">
        <v>70</v>
      </c>
      <c r="C32" s="204"/>
      <c r="D32" s="204"/>
      <c r="E32" s="205"/>
    </row>
    <row r="33" spans="1:5" ht="15.75">
      <c r="A33" s="131"/>
      <c r="B33" s="132"/>
      <c r="C33" s="154" t="s">
        <v>65</v>
      </c>
      <c r="D33" s="155">
        <v>1191.82</v>
      </c>
      <c r="E33" s="133"/>
    </row>
  </sheetData>
  <sheetProtection/>
  <mergeCells count="4">
    <mergeCell ref="A8:E8"/>
    <mergeCell ref="A10:E10"/>
    <mergeCell ref="A12:E12"/>
    <mergeCell ref="B32:E32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128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 LEANDRO KEMPF</dc:creator>
  <cp:keywords/>
  <dc:description/>
  <cp:lastModifiedBy>Usuario</cp:lastModifiedBy>
  <cp:lastPrinted>2014-06-16T17:03:05Z</cp:lastPrinted>
  <dcterms:created xsi:type="dcterms:W3CDTF">2009-04-02T18:01:00Z</dcterms:created>
  <dcterms:modified xsi:type="dcterms:W3CDTF">2014-06-16T17:03:38Z</dcterms:modified>
  <cp:category/>
  <cp:version/>
  <cp:contentType/>
  <cp:contentStatus/>
</cp:coreProperties>
</file>